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320" windowHeight="8190"/>
  </bookViews>
  <sheets>
    <sheet name="Summary" sheetId="9" r:id="rId1"/>
    <sheet name="PI" sheetId="1" r:id="rId2"/>
    <sheet name="P-PE" sheetId="2" r:id="rId3"/>
    <sheet name="LPE" sheetId="3" r:id="rId4"/>
    <sheet name="PS" sheetId="4" r:id="rId5"/>
    <sheet name="PC" sheetId="5" r:id="rId6"/>
    <sheet name="PE" sheetId="6" r:id="rId7"/>
    <sheet name="PG" sheetId="7" r:id="rId8"/>
    <sheet name="Cer" sheetId="8" r:id="rId9"/>
  </sheets>
  <calcPr calcId="145621"/>
</workbook>
</file>

<file path=xl/calcChain.xml><?xml version="1.0" encoding="utf-8"?>
<calcChain xmlns="http://schemas.openxmlformats.org/spreadsheetml/2006/main">
  <c r="Q30" i="9" l="1"/>
  <c r="O30" i="9"/>
  <c r="M30" i="9"/>
  <c r="K30" i="9"/>
  <c r="I30" i="9"/>
  <c r="G30" i="9"/>
  <c r="E30" i="9"/>
  <c r="C30" i="9"/>
  <c r="Q27" i="9"/>
  <c r="O27" i="9"/>
  <c r="M27" i="9"/>
  <c r="K27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G23" i="9"/>
  <c r="E23" i="9"/>
  <c r="C23" i="9"/>
  <c r="O22" i="9"/>
  <c r="M22" i="9"/>
  <c r="K22" i="9"/>
  <c r="I22" i="9"/>
  <c r="G22" i="9"/>
  <c r="E22" i="9"/>
  <c r="C22" i="9"/>
  <c r="Q21" i="9"/>
  <c r="O21" i="9"/>
  <c r="M21" i="9"/>
  <c r="K21" i="9"/>
  <c r="I21" i="9"/>
  <c r="G21" i="9"/>
  <c r="E21" i="9"/>
  <c r="C21" i="9"/>
  <c r="Q13" i="9"/>
  <c r="O13" i="9"/>
  <c r="M13" i="9"/>
  <c r="K13" i="9"/>
  <c r="I13" i="9"/>
  <c r="G13" i="9"/>
  <c r="E13" i="9"/>
  <c r="C13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O7" i="9"/>
  <c r="M7" i="9"/>
  <c r="K7" i="9"/>
  <c r="I7" i="9"/>
  <c r="G7" i="9"/>
  <c r="E7" i="9"/>
  <c r="C7" i="9"/>
  <c r="G6" i="9"/>
  <c r="E6" i="9"/>
  <c r="C6" i="9"/>
  <c r="Q5" i="9"/>
  <c r="O5" i="9"/>
  <c r="M5" i="9"/>
  <c r="K5" i="9"/>
  <c r="I5" i="9"/>
  <c r="G5" i="9"/>
  <c r="E5" i="9"/>
  <c r="C5" i="9"/>
  <c r="Q4" i="9"/>
  <c r="O4" i="9"/>
  <c r="M4" i="9"/>
  <c r="K4" i="9"/>
  <c r="I4" i="9"/>
  <c r="G4" i="9"/>
  <c r="E4" i="9"/>
  <c r="C4" i="9"/>
  <c r="K98" i="5" l="1"/>
  <c r="K97" i="5"/>
  <c r="K96" i="5"/>
  <c r="K95" i="5"/>
  <c r="K94" i="5"/>
  <c r="K93" i="5"/>
  <c r="K92" i="5"/>
  <c r="K91" i="5"/>
  <c r="K90" i="5"/>
  <c r="K89" i="5"/>
  <c r="K88" i="5"/>
  <c r="K84" i="5"/>
  <c r="K83" i="5"/>
  <c r="K82" i="5"/>
  <c r="K81" i="5"/>
  <c r="K80" i="5"/>
  <c r="K79" i="5"/>
  <c r="K78" i="5"/>
  <c r="K77" i="5"/>
  <c r="K76" i="5"/>
  <c r="K75" i="5"/>
  <c r="K74" i="5"/>
  <c r="K11" i="8" l="1"/>
  <c r="F11" i="8"/>
  <c r="K10" i="8"/>
  <c r="F10" i="8"/>
  <c r="K9" i="8"/>
  <c r="F9" i="8"/>
  <c r="K8" i="8"/>
  <c r="F8" i="8"/>
  <c r="K7" i="8"/>
  <c r="F7" i="8"/>
  <c r="K6" i="8"/>
  <c r="F6" i="8"/>
  <c r="K35" i="7"/>
  <c r="F35" i="7"/>
  <c r="K34" i="7"/>
  <c r="F34" i="7"/>
  <c r="K33" i="7"/>
  <c r="F33" i="7"/>
  <c r="K32" i="7"/>
  <c r="F32" i="7"/>
  <c r="K31" i="7"/>
  <c r="F31" i="7"/>
  <c r="K30" i="7"/>
  <c r="F30" i="7"/>
  <c r="K29" i="7"/>
  <c r="F29" i="7"/>
  <c r="K21" i="7"/>
  <c r="F21" i="7"/>
  <c r="K20" i="7"/>
  <c r="F20" i="7"/>
  <c r="K19" i="7"/>
  <c r="F19" i="7"/>
  <c r="K18" i="7"/>
  <c r="F18" i="7"/>
  <c r="K17" i="7"/>
  <c r="F17" i="7"/>
  <c r="K16" i="7"/>
  <c r="F16" i="7"/>
  <c r="K15" i="7"/>
  <c r="F15" i="7"/>
  <c r="K56" i="6"/>
  <c r="F56" i="6"/>
  <c r="K55" i="6"/>
  <c r="F55" i="6"/>
  <c r="K54" i="6"/>
  <c r="F54" i="6"/>
  <c r="K53" i="6"/>
  <c r="F53" i="6"/>
  <c r="K52" i="6"/>
  <c r="F52" i="6"/>
  <c r="K51" i="6"/>
  <c r="F51" i="6"/>
  <c r="K50" i="6"/>
  <c r="F50" i="6"/>
  <c r="K42" i="6"/>
  <c r="F42" i="6"/>
  <c r="K41" i="6"/>
  <c r="F41" i="6"/>
  <c r="K40" i="6"/>
  <c r="F40" i="6"/>
  <c r="K39" i="6"/>
  <c r="F39" i="6"/>
  <c r="K38" i="6"/>
  <c r="F38" i="6"/>
  <c r="K37" i="6"/>
  <c r="F37" i="6"/>
  <c r="K36" i="6"/>
  <c r="F36" i="6"/>
  <c r="F43" i="6" s="1"/>
  <c r="F94" i="5"/>
  <c r="F93" i="5"/>
  <c r="F92" i="5"/>
  <c r="F91" i="5"/>
  <c r="F90" i="5"/>
  <c r="F96" i="5" s="1"/>
  <c r="F89" i="5"/>
  <c r="F97" i="5" s="1"/>
  <c r="F88" i="5"/>
  <c r="F80" i="5"/>
  <c r="F79" i="5"/>
  <c r="F78" i="5"/>
  <c r="F77" i="5"/>
  <c r="F76" i="5"/>
  <c r="F75" i="5"/>
  <c r="F74" i="5"/>
  <c r="K29" i="4"/>
  <c r="F29" i="4"/>
  <c r="K28" i="4"/>
  <c r="F28" i="4"/>
  <c r="K27" i="4"/>
  <c r="F27" i="4"/>
  <c r="K26" i="4"/>
  <c r="F26" i="4"/>
  <c r="K25" i="4"/>
  <c r="K33" i="4" s="1"/>
  <c r="F25" i="4"/>
  <c r="F33" i="4" s="1"/>
  <c r="K24" i="4"/>
  <c r="K30" i="4" s="1"/>
  <c r="F24" i="4"/>
  <c r="F30" i="4" s="1"/>
  <c r="K23" i="4"/>
  <c r="K31" i="4" s="1"/>
  <c r="F23" i="4"/>
  <c r="F31" i="4" s="1"/>
  <c r="K16" i="4"/>
  <c r="F16" i="4"/>
  <c r="K15" i="4"/>
  <c r="F15" i="4"/>
  <c r="K14" i="4"/>
  <c r="F14" i="4"/>
  <c r="K13" i="4"/>
  <c r="F13" i="4"/>
  <c r="K12" i="4"/>
  <c r="F12" i="4"/>
  <c r="K11" i="4"/>
  <c r="K19" i="4" s="1"/>
  <c r="F11" i="4"/>
  <c r="F19" i="4" s="1"/>
  <c r="K10" i="4"/>
  <c r="K18" i="4" s="1"/>
  <c r="F10" i="4"/>
  <c r="F18" i="4" s="1"/>
  <c r="K9" i="4"/>
  <c r="F9" i="4"/>
  <c r="F17" i="4" s="1"/>
  <c r="K14" i="3"/>
  <c r="F14" i="3"/>
  <c r="K13" i="3"/>
  <c r="F13" i="3"/>
  <c r="K12" i="3"/>
  <c r="F12" i="3"/>
  <c r="K11" i="3"/>
  <c r="F11" i="3"/>
  <c r="K10" i="3"/>
  <c r="K16" i="3" s="1"/>
  <c r="F10" i="3"/>
  <c r="F16" i="3" s="1"/>
  <c r="K9" i="3"/>
  <c r="K17" i="3" s="1"/>
  <c r="F9" i="3"/>
  <c r="F17" i="3" s="1"/>
  <c r="K8" i="3"/>
  <c r="F8" i="3"/>
  <c r="F15" i="3" s="1"/>
  <c r="K29" i="2"/>
  <c r="F29" i="2"/>
  <c r="K28" i="2"/>
  <c r="F28" i="2"/>
  <c r="K27" i="2"/>
  <c r="F27" i="2"/>
  <c r="K26" i="2"/>
  <c r="F26" i="2"/>
  <c r="K25" i="2"/>
  <c r="K31" i="2" s="1"/>
  <c r="F25" i="2"/>
  <c r="F31" i="2" s="1"/>
  <c r="K24" i="2"/>
  <c r="K30" i="2" s="1"/>
  <c r="F24" i="2"/>
  <c r="F30" i="2" s="1"/>
  <c r="K23" i="2"/>
  <c r="F23" i="2"/>
  <c r="K15" i="2"/>
  <c r="F15" i="2"/>
  <c r="K14" i="2"/>
  <c r="F14" i="2"/>
  <c r="K13" i="2"/>
  <c r="F13" i="2"/>
  <c r="K12" i="2"/>
  <c r="F12" i="2"/>
  <c r="K11" i="2"/>
  <c r="K19" i="2" s="1"/>
  <c r="F11" i="2"/>
  <c r="F19" i="2" s="1"/>
  <c r="K10" i="2"/>
  <c r="K16" i="2" s="1"/>
  <c r="F10" i="2"/>
  <c r="F16" i="2" s="1"/>
  <c r="K9" i="2"/>
  <c r="K17" i="2" s="1"/>
  <c r="F9" i="2"/>
  <c r="F17" i="2" s="1"/>
  <c r="K35" i="1"/>
  <c r="F35" i="1"/>
  <c r="K34" i="1"/>
  <c r="F34" i="1"/>
  <c r="K33" i="1"/>
  <c r="F33" i="1"/>
  <c r="K32" i="1"/>
  <c r="F32" i="1"/>
  <c r="K31" i="1"/>
  <c r="K39" i="1" s="1"/>
  <c r="F31" i="1"/>
  <c r="F39" i="1" s="1"/>
  <c r="K30" i="1"/>
  <c r="K38" i="1" s="1"/>
  <c r="F30" i="1"/>
  <c r="F38" i="1" s="1"/>
  <c r="K29" i="1"/>
  <c r="F29" i="1"/>
  <c r="K21" i="1"/>
  <c r="F21" i="1"/>
  <c r="K20" i="1"/>
  <c r="F20" i="1"/>
  <c r="K19" i="1"/>
  <c r="F19" i="1"/>
  <c r="K18" i="1"/>
  <c r="F18" i="1"/>
  <c r="K17" i="1"/>
  <c r="F17" i="1"/>
  <c r="K16" i="1"/>
  <c r="K24" i="1" s="1"/>
  <c r="F16" i="1"/>
  <c r="F24" i="1" s="1"/>
  <c r="K15" i="1"/>
  <c r="F15" i="1"/>
  <c r="F38" i="7" l="1"/>
  <c r="K38" i="7"/>
  <c r="F37" i="7"/>
  <c r="K37" i="7"/>
  <c r="F23" i="7"/>
  <c r="K23" i="7"/>
  <c r="F22" i="7"/>
  <c r="K22" i="7"/>
  <c r="F60" i="6"/>
  <c r="K45" i="6"/>
  <c r="K46" i="6"/>
  <c r="K60" i="6"/>
  <c r="K57" i="6"/>
  <c r="F57" i="6"/>
  <c r="F46" i="6"/>
  <c r="K43" i="6"/>
  <c r="F45" i="6"/>
  <c r="F58" i="6"/>
  <c r="K58" i="6"/>
  <c r="F81" i="5"/>
  <c r="F82" i="5"/>
  <c r="K36" i="1"/>
  <c r="F37" i="1"/>
  <c r="F36" i="1"/>
  <c r="F22" i="1"/>
  <c r="K22" i="1"/>
  <c r="F23" i="1"/>
  <c r="K23" i="1"/>
  <c r="F32" i="2"/>
  <c r="F83" i="5"/>
  <c r="F98" i="5"/>
  <c r="F24" i="7"/>
  <c r="F39" i="7"/>
  <c r="K25" i="1"/>
  <c r="K32" i="2"/>
  <c r="K24" i="7"/>
  <c r="K39" i="7"/>
  <c r="F18" i="2"/>
  <c r="F33" i="2"/>
  <c r="F32" i="4"/>
  <c r="F84" i="5"/>
  <c r="F95" i="5"/>
  <c r="F44" i="6"/>
  <c r="F59" i="6"/>
  <c r="F25" i="7"/>
  <c r="F36" i="7"/>
  <c r="K37" i="1"/>
  <c r="K18" i="2"/>
  <c r="K33" i="2"/>
  <c r="K15" i="3"/>
  <c r="K17" i="4"/>
  <c r="K32" i="4"/>
  <c r="K44" i="6"/>
  <c r="K59" i="6"/>
  <c r="K25" i="7"/>
  <c r="K36" i="7"/>
  <c r="F25" i="1"/>
</calcChain>
</file>

<file path=xl/sharedStrings.xml><?xml version="1.0" encoding="utf-8"?>
<sst xmlns="http://schemas.openxmlformats.org/spreadsheetml/2006/main" count="2113" uniqueCount="527">
  <si>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</si>
  <si>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</si>
  <si>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</si>
  <si>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</si>
  <si>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</si>
  <si>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</si>
  <si>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</si>
  <si>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</si>
  <si>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</si>
  <si>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</si>
  <si>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</si>
  <si>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</si>
  <si>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</si>
  <si>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</si>
  <si>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</si>
  <si>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</si>
  <si>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</si>
  <si>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</si>
  <si>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PI</t>
  </si>
  <si>
    <t>34:1_noMS2</t>
  </si>
  <si>
    <t>-H</t>
  </si>
  <si>
    <t>not reported</t>
  </si>
  <si>
    <t>34:1</t>
  </si>
  <si>
    <t>18:0/16:1 16:1/18:0_FP</t>
  </si>
  <si>
    <t>18:0/16:1 16:1/18:0</t>
  </si>
  <si>
    <t>23.75405 23.75405</t>
  </si>
  <si>
    <t>34:2</t>
  </si>
  <si>
    <t>16:0/18:2</t>
  </si>
  <si>
    <t>22.1</t>
  </si>
  <si>
    <t>22.07590</t>
  </si>
  <si>
    <t>36:0_FP</t>
  </si>
  <si>
    <t>36:0</t>
  </si>
  <si>
    <t>18:0/18:0_FP</t>
  </si>
  <si>
    <t>18:0/18:0</t>
  </si>
  <si>
    <t>20.49545</t>
  </si>
  <si>
    <t>36:3</t>
  </si>
  <si>
    <t>22.6</t>
  </si>
  <si>
    <t>22.64</t>
  </si>
  <si>
    <t>36:4</t>
  </si>
  <si>
    <t>16:0/20:4</t>
  </si>
  <si>
    <t>22.0</t>
  </si>
  <si>
    <t xml:space="preserve">22.05 </t>
  </si>
  <si>
    <t>22.2408</t>
  </si>
  <si>
    <t>37:4</t>
  </si>
  <si>
    <t>17:0/20:4</t>
  </si>
  <si>
    <t>22.8</t>
  </si>
  <si>
    <t xml:space="preserve">22.89 </t>
  </si>
  <si>
    <t>22.92313</t>
  </si>
  <si>
    <t>38:3_noMS2</t>
  </si>
  <si>
    <t>38:3</t>
  </si>
  <si>
    <t>20:3/18:0 18:0/20:3_FP</t>
  </si>
  <si>
    <t>20:3/18:0 18:0/20:3</t>
  </si>
  <si>
    <t>38:4</t>
  </si>
  <si>
    <t>18:0/20:4</t>
  </si>
  <si>
    <t>23.8</t>
  </si>
  <si>
    <t xml:space="preserve">23.76 </t>
  </si>
  <si>
    <t>23.67055 23.91955</t>
  </si>
  <si>
    <t>38:5</t>
  </si>
  <si>
    <t>18:1/20:4</t>
  </si>
  <si>
    <t>22.3</t>
  </si>
  <si>
    <t>22.30488</t>
  </si>
  <si>
    <t>40:6</t>
  </si>
  <si>
    <t>18:0/22:6</t>
  </si>
  <si>
    <t>22:6/18:0 18:0/22:6</t>
  </si>
  <si>
    <t>23.3</t>
  </si>
  <si>
    <t xml:space="preserve">23.39 </t>
  </si>
  <si>
    <t>23.3522 23.3522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</si>
  <si>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</si>
  <si>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</si>
  <si>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</si>
  <si>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</si>
  <si>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</si>
  <si>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</si>
  <si>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</si>
  <si>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</si>
  <si>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</si>
  <si>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</si>
  <si>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</si>
  <si>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</si>
  <si>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</si>
  <si>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</si>
  <si>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</si>
  <si>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</si>
  <si>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</si>
  <si>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</si>
  <si>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</si>
  <si>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</si>
  <si>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</si>
  <si>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</si>
  <si>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</si>
  <si>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</si>
  <si>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</si>
  <si>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</si>
  <si>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</si>
  <si>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</si>
  <si>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</si>
  <si>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</si>
  <si>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P-PE</t>
  </si>
  <si>
    <t>P-16:0/20:4</t>
  </si>
  <si>
    <t>25.8</t>
  </si>
  <si>
    <t xml:space="preserve">25.75 </t>
  </si>
  <si>
    <t>25.80632</t>
  </si>
  <si>
    <t>P-18:0/20:4</t>
  </si>
  <si>
    <t>27.3</t>
  </si>
  <si>
    <t xml:space="preserve">27.35 </t>
  </si>
  <si>
    <t>27.46265</t>
  </si>
  <si>
    <t>38:8_FP</t>
  </si>
  <si>
    <t>38:8</t>
  </si>
  <si>
    <t>40:4_FP</t>
  </si>
  <si>
    <t>40:4</t>
  </si>
  <si>
    <t>P-18:0/22:4_FP</t>
  </si>
  <si>
    <t>P-18:0/22:4</t>
  </si>
  <si>
    <t>28.37760</t>
  </si>
  <si>
    <t>LPE</t>
  </si>
  <si>
    <t>16:0</t>
  </si>
  <si>
    <t>7.5</t>
  </si>
  <si>
    <t>7.63</t>
  </si>
  <si>
    <t>18:0</t>
  </si>
  <si>
    <t>11.0</t>
  </si>
  <si>
    <t>11.07</t>
  </si>
  <si>
    <t>20:4</t>
  </si>
  <si>
    <t>5.4</t>
  </si>
  <si>
    <t>6.04</t>
  </si>
  <si>
    <t>PS</t>
  </si>
  <si>
    <t>24.3</t>
  </si>
  <si>
    <t xml:space="preserve">24.14 </t>
  </si>
  <si>
    <t>24.16845</t>
  </si>
  <si>
    <t>38:6</t>
  </si>
  <si>
    <t>16:0/22:6</t>
  </si>
  <si>
    <t>22:6/16:0 16:0/22:6</t>
  </si>
  <si>
    <t>24.1</t>
  </si>
  <si>
    <t xml:space="preserve">23.89 </t>
  </si>
  <si>
    <t>PC</t>
  </si>
  <si>
    <t>32:0_noMS2</t>
  </si>
  <si>
    <t>HCOO</t>
  </si>
  <si>
    <t>32:0</t>
  </si>
  <si>
    <t>26.3</t>
  </si>
  <si>
    <t>26.37</t>
  </si>
  <si>
    <t>not counted: only MS1 identification</t>
  </si>
  <si>
    <t>-CH3</t>
  </si>
  <si>
    <t>26.25</t>
  </si>
  <si>
    <t>33:0_noMS2</t>
  </si>
  <si>
    <t>33:0</t>
  </si>
  <si>
    <t>27.1</t>
  </si>
  <si>
    <t>27.10</t>
  </si>
  <si>
    <t>33:1_noMS2</t>
  </si>
  <si>
    <t>33:1</t>
  </si>
  <si>
    <t>25.87</t>
  </si>
  <si>
    <t>33:2_noMS2</t>
  </si>
  <si>
    <t>33:2</t>
  </si>
  <si>
    <t>24.51</t>
  </si>
  <si>
    <t>34:0_noMS2</t>
  </si>
  <si>
    <t>34:0</t>
  </si>
  <si>
    <t>28.1</t>
  </si>
  <si>
    <t>28.23</t>
  </si>
  <si>
    <t>16:0/18:1</t>
  </si>
  <si>
    <t>26.5</t>
  </si>
  <si>
    <t xml:space="preserve">26.60 </t>
  </si>
  <si>
    <t>25.24212 26.57720</t>
  </si>
  <si>
    <t>25.1</t>
  </si>
  <si>
    <t xml:space="preserve">25.26 </t>
  </si>
  <si>
    <t>25.03795 25.31112 25.53262 25.83415 26.1112</t>
  </si>
  <si>
    <t>25.18645 25.40797 25.71313</t>
  </si>
  <si>
    <t>34:3_noMS2</t>
  </si>
  <si>
    <t>34:3</t>
  </si>
  <si>
    <t>24.0</t>
  </si>
  <si>
    <t>24.14</t>
  </si>
  <si>
    <t>24.01</t>
  </si>
  <si>
    <t>35:2</t>
  </si>
  <si>
    <t>17:0/18:2</t>
  </si>
  <si>
    <t>26.1</t>
  </si>
  <si>
    <t xml:space="preserve">26.25 </t>
  </si>
  <si>
    <t>17:1/18:1</t>
  </si>
  <si>
    <t>35:2_noMS2</t>
  </si>
  <si>
    <t>35:4_noMS2</t>
  </si>
  <si>
    <t>35:4</t>
  </si>
  <si>
    <t>15:0/20:4_FP</t>
  </si>
  <si>
    <t>15:0/20:4</t>
  </si>
  <si>
    <t>21.21012</t>
  </si>
  <si>
    <t>36:1</t>
  </si>
  <si>
    <t>18:0/18:1</t>
  </si>
  <si>
    <t>28.5</t>
  </si>
  <si>
    <t xml:space="preserve">28.60 </t>
  </si>
  <si>
    <t>27.03262 27.33773 28.25308 28.50242 28.75240 29.18280 29.46063</t>
  </si>
  <si>
    <t>16:1/20:0_FP</t>
  </si>
  <si>
    <t>16:1/20:0</t>
  </si>
  <si>
    <t>29.46063</t>
  </si>
  <si>
    <t xml:space="preserve">28.46 </t>
  </si>
  <si>
    <t>28.40543 29.12710</t>
  </si>
  <si>
    <t>36:2</t>
  </si>
  <si>
    <t>18:0/18:2</t>
  </si>
  <si>
    <t xml:space="preserve">26.98 </t>
  </si>
  <si>
    <t>26.83873 27.12962 27.37915 27.62818 27.87825 28.12815 28.71093</t>
  </si>
  <si>
    <t>26.96345 27.25427 27.53147</t>
  </si>
  <si>
    <t>16:0/20:3</t>
  </si>
  <si>
    <t>16:0/20:3 20:3/16:0</t>
  </si>
  <si>
    <t>25.6</t>
  </si>
  <si>
    <t>25.09357 25.09357</t>
  </si>
  <si>
    <t>18:1/18:2</t>
  </si>
  <si>
    <t>25.56045 25.77848 25.98647</t>
  </si>
  <si>
    <t>25.74093</t>
  </si>
  <si>
    <t>24.8</t>
  </si>
  <si>
    <t xml:space="preserve">25.01 </t>
  </si>
  <si>
    <t>24.94438 25.15863</t>
  </si>
  <si>
    <t>24.99680 25.36680</t>
  </si>
  <si>
    <t>37:2_noMS2</t>
  </si>
  <si>
    <t>37:2</t>
  </si>
  <si>
    <t>28.0</t>
  </si>
  <si>
    <t>27.98</t>
  </si>
  <si>
    <t>20:4_17:0</t>
  </si>
  <si>
    <t xml:space="preserve">26.00 </t>
  </si>
  <si>
    <t>25.93082</t>
  </si>
  <si>
    <t>37:5_noMS2</t>
  </si>
  <si>
    <t>37:5</t>
  </si>
  <si>
    <t>15:1/22:4_FP</t>
  </si>
  <si>
    <t>15:1/22:4</t>
  </si>
  <si>
    <t>38:1_noMS2</t>
  </si>
  <si>
    <t>38:1</t>
  </si>
  <si>
    <t>12:0/26:1_FP</t>
  </si>
  <si>
    <t>12:0/26:1</t>
  </si>
  <si>
    <t>31.21075</t>
  </si>
  <si>
    <t>14:0/24:1_FP</t>
  </si>
  <si>
    <t>14:0/24:1</t>
  </si>
  <si>
    <t>14:1/24:0_FP</t>
  </si>
  <si>
    <t>14:1/24:0</t>
  </si>
  <si>
    <t>38:2</t>
  </si>
  <si>
    <t>12:0/26:2_FP</t>
  </si>
  <si>
    <t>12:0/26:2</t>
  </si>
  <si>
    <t>29.43282 29.77990</t>
  </si>
  <si>
    <t>22:2/16:0 16:0/22:2_FP</t>
  </si>
  <si>
    <t>22:2/16:0 16:0/22:2</t>
  </si>
  <si>
    <t>18:0/20:3</t>
  </si>
  <si>
    <t>27.6</t>
  </si>
  <si>
    <t xml:space="preserve">27.60 </t>
  </si>
  <si>
    <t xml:space="preserve">27.73 </t>
  </si>
  <si>
    <t>27.8367 28.2117 27.8367 28.2117</t>
  </si>
  <si>
    <t>26.6</t>
  </si>
  <si>
    <t xml:space="preserve">26.73 </t>
  </si>
  <si>
    <t>26.59722 26.87995 27.18525 27.4348 27.6838</t>
  </si>
  <si>
    <t>20:4/18:0 18:0/20:4</t>
  </si>
  <si>
    <t>27.65602 27.00480 27.30992</t>
  </si>
  <si>
    <t>25.3</t>
  </si>
  <si>
    <t xml:space="preserve">25.50 </t>
  </si>
  <si>
    <t>25.46360 25.65752</t>
  </si>
  <si>
    <t>16:0/22:5</t>
  </si>
  <si>
    <t>22:5/16:0 16:0/22:5</t>
  </si>
  <si>
    <t>25.58825</t>
  </si>
  <si>
    <t>24.6</t>
  </si>
  <si>
    <t xml:space="preserve">24.64 </t>
  </si>
  <si>
    <t>24.66722 24.66722</t>
  </si>
  <si>
    <t>18:2/20:4</t>
  </si>
  <si>
    <t>24.07208 24.37677 24.66722</t>
  </si>
  <si>
    <t>22:6/16:0</t>
  </si>
  <si>
    <t>24.59818 24.79203 26.02768 26.33290</t>
  </si>
  <si>
    <t>18:3/20:5_FP</t>
  </si>
  <si>
    <t>18:3/20:5</t>
  </si>
  <si>
    <t>30.30823</t>
  </si>
  <si>
    <t>18:4/20:4_FP</t>
  </si>
  <si>
    <t>18:4/20:4</t>
  </si>
  <si>
    <t>39:6_noMS2</t>
  </si>
  <si>
    <t>39:6</t>
  </si>
  <si>
    <t>25.50</t>
  </si>
  <si>
    <t>39:8_FP</t>
  </si>
  <si>
    <t>39:8</t>
  </si>
  <si>
    <t>22:6/17:2 17:2/22:6_FP</t>
  </si>
  <si>
    <t>22:6/17:2 17:2/22:6</t>
  </si>
  <si>
    <t>31.50268 31.50268</t>
  </si>
  <si>
    <t>40:4_noMS2</t>
  </si>
  <si>
    <t>28.71</t>
  </si>
  <si>
    <t>40:5_noMS2</t>
  </si>
  <si>
    <t>40:5</t>
  </si>
  <si>
    <t>18:0/22:5 22:5/18:0_FP</t>
  </si>
  <si>
    <t>18:0/22:5 22:5/18:0</t>
  </si>
  <si>
    <t>27.73</t>
  </si>
  <si>
    <t>22:6_18:0</t>
  </si>
  <si>
    <t>26.15242 26.42980 26.15242 26.42980</t>
  </si>
  <si>
    <t>18:1/22:5</t>
  </si>
  <si>
    <t>26.42980</t>
  </si>
  <si>
    <t>18:4/22:2_FP</t>
  </si>
  <si>
    <t>18:4/22:2</t>
  </si>
  <si>
    <t>26.15242</t>
  </si>
  <si>
    <t>40:7</t>
  </si>
  <si>
    <t>18:1/22:6</t>
  </si>
  <si>
    <t>22:6_18:1</t>
  </si>
  <si>
    <t xml:space="preserve">24.89 </t>
  </si>
  <si>
    <t>24.87545</t>
  </si>
  <si>
    <t>40:7_noMS2</t>
  </si>
  <si>
    <t>24.89</t>
  </si>
  <si>
    <t>40:8_noMS2</t>
  </si>
  <si>
    <t>40:8</t>
  </si>
  <si>
    <t>23.89</t>
  </si>
  <si>
    <t>40:9</t>
  </si>
  <si>
    <t>20:5/20:4</t>
  </si>
  <si>
    <t>20:4/20:5</t>
  </si>
  <si>
    <t>22.95097</t>
  </si>
  <si>
    <t>41:6_noMS2</t>
  </si>
  <si>
    <t>41:6</t>
  </si>
  <si>
    <t>27.0</t>
  </si>
  <si>
    <t>26.50 27.35</t>
  </si>
  <si>
    <t>42:0_FP</t>
  </si>
  <si>
    <t>42:0</t>
  </si>
  <si>
    <t>16:0/26:0 26:0/16:0_FP</t>
  </si>
  <si>
    <t>16:0/26:0 26:0/16:0</t>
  </si>
  <si>
    <t>21.98408 21.98408</t>
  </si>
  <si>
    <t>42:7_noMS2</t>
  </si>
  <si>
    <t>42:7</t>
  </si>
  <si>
    <t>26.85</t>
  </si>
  <si>
    <t>42:9_noMS2</t>
  </si>
  <si>
    <t>42:9</t>
  </si>
  <si>
    <t>42:10_noMS2</t>
  </si>
  <si>
    <t>42:10</t>
  </si>
  <si>
    <t>23.51</t>
  </si>
  <si>
    <t>44:1_FP</t>
  </si>
  <si>
    <t>44:1</t>
  </si>
  <si>
    <t>18:0/26:1_FP</t>
  </si>
  <si>
    <t>18:0/26:1</t>
  </si>
  <si>
    <t>22.72937</t>
  </si>
  <si>
    <t>PE</t>
  </si>
  <si>
    <t>24:0</t>
  </si>
  <si>
    <t>12:0/12:0</t>
  </si>
  <si>
    <t>17.6</t>
  </si>
  <si>
    <t xml:space="preserve">17.69 </t>
  </si>
  <si>
    <t>27.60</t>
  </si>
  <si>
    <t>25.0</t>
  </si>
  <si>
    <t>27.8</t>
  </si>
  <si>
    <t xml:space="preserve">27.85 </t>
  </si>
  <si>
    <t>27.78097</t>
  </si>
  <si>
    <t>16:0/20:1</t>
  </si>
  <si>
    <t>20:1_16:0</t>
  </si>
  <si>
    <t>18:2_18:1</t>
  </si>
  <si>
    <t xml:space="preserve">25.37 </t>
  </si>
  <si>
    <t>24.91657</t>
  </si>
  <si>
    <t>18:2/18:2</t>
  </si>
  <si>
    <t>24.04428</t>
  </si>
  <si>
    <t>36:5</t>
  </si>
  <si>
    <t>16:1/20:4</t>
  </si>
  <si>
    <t>20:4_16:1</t>
  </si>
  <si>
    <t>23.5</t>
  </si>
  <si>
    <t xml:space="preserve">23.51 </t>
  </si>
  <si>
    <t>23.57373</t>
  </si>
  <si>
    <t>37:4_noMS2</t>
  </si>
  <si>
    <t>25.75</t>
  </si>
  <si>
    <t>18:1/20:1</t>
  </si>
  <si>
    <t>28.03107</t>
  </si>
  <si>
    <t xml:space="preserve">26.50 </t>
  </si>
  <si>
    <t>26.40198</t>
  </si>
  <si>
    <t xml:space="preserve">24.39 </t>
  </si>
  <si>
    <t>24.32110 24.54253 24.32110 24.54253</t>
  </si>
  <si>
    <t>20:4_18:2</t>
  </si>
  <si>
    <t>23.97523</t>
  </si>
  <si>
    <t>38:7</t>
  </si>
  <si>
    <t>16:1/22:6</t>
  </si>
  <si>
    <t>16:1/22:6 22:6/16:1</t>
  </si>
  <si>
    <t>23.1</t>
  </si>
  <si>
    <t xml:space="preserve">23.14 </t>
  </si>
  <si>
    <t>23.29655 23.29655</t>
  </si>
  <si>
    <t>24:2/14:5_FP</t>
  </si>
  <si>
    <t>24:2/14:5</t>
  </si>
  <si>
    <t>39:4_noMS2</t>
  </si>
  <si>
    <t>39:4</t>
  </si>
  <si>
    <t>27.23</t>
  </si>
  <si>
    <t>39:5_FP</t>
  </si>
  <si>
    <t>39:5</t>
  </si>
  <si>
    <t>17:1/22:4_FP</t>
  </si>
  <si>
    <t>17:1/22:4</t>
  </si>
  <si>
    <t>18:0/22:4 22:4/18:0</t>
  </si>
  <si>
    <t>18:0_22:6</t>
  </si>
  <si>
    <t>26.0</t>
  </si>
  <si>
    <t>24.59818 24.79203 26.02768 26.33290 24.59818 24.79203 26.02768 26.33290</t>
  </si>
  <si>
    <t xml:space="preserve">24.76 </t>
  </si>
  <si>
    <t>24.72287</t>
  </si>
  <si>
    <t>18:2/22:6</t>
  </si>
  <si>
    <t>23.6</t>
  </si>
  <si>
    <t>23.54590</t>
  </si>
  <si>
    <t>40:9_noMS2</t>
  </si>
  <si>
    <t>42:6_FP</t>
  </si>
  <si>
    <t>42:6</t>
  </si>
  <si>
    <t>20:0/22:6_FP</t>
  </si>
  <si>
    <t>20:0/22:6</t>
  </si>
  <si>
    <t>26.48548</t>
  </si>
  <si>
    <t>PG</t>
  </si>
  <si>
    <t>24.12773</t>
  </si>
  <si>
    <t>23.0</t>
  </si>
  <si>
    <t xml:space="preserve">23.01 </t>
  </si>
  <si>
    <t>23.07557</t>
  </si>
  <si>
    <t>35:1_FP</t>
  </si>
  <si>
    <t>35:1</t>
  </si>
  <si>
    <t>17:1/18:0 18:0/17:1_FP</t>
  </si>
  <si>
    <t>17:1/18:0 18:0/17:1</t>
  </si>
  <si>
    <t>22.70153 23.47682 27.06047</t>
  </si>
  <si>
    <t>37:0_FP</t>
  </si>
  <si>
    <t>37:0</t>
  </si>
  <si>
    <t>16:0/21:0_FP</t>
  </si>
  <si>
    <t>16:0/21:0</t>
  </si>
  <si>
    <t>24.84765</t>
  </si>
  <si>
    <t>38:4_FP</t>
  </si>
  <si>
    <t>39:0_FP</t>
  </si>
  <si>
    <t>39:0</t>
  </si>
  <si>
    <t>18:0/21:0 21:0/18:0_FP</t>
  </si>
  <si>
    <t>18:0/21:0 21:0/18:0</t>
  </si>
  <si>
    <t>26.27725 26.27725</t>
  </si>
  <si>
    <t>40:1_FP</t>
  </si>
  <si>
    <t>40:1</t>
  </si>
  <si>
    <t>18:1/22:0_FP</t>
  </si>
  <si>
    <t>18:1/22:0</t>
  </si>
  <si>
    <t>27.15745</t>
  </si>
  <si>
    <t>40:2_FP</t>
  </si>
  <si>
    <t>40:2</t>
  </si>
  <si>
    <t>18:2/22:0_FP</t>
  </si>
  <si>
    <t>18:2/22:0</t>
  </si>
  <si>
    <t>25.68532</t>
  </si>
  <si>
    <t>44:12_FP</t>
  </si>
  <si>
    <t>44:12</t>
  </si>
  <si>
    <t>22:6/22:6_FP</t>
  </si>
  <si>
    <t>22:6/22:6</t>
  </si>
  <si>
    <t>LB: impossible retention time</t>
  </si>
  <si>
    <t>23.72625 24.29325</t>
  </si>
  <si>
    <t>LDA: too less fragments found to verify 16:0</t>
  </si>
  <si>
    <t>LDA: chains removed by rules</t>
  </si>
  <si>
    <t>LB: the spectrum is from the second isotopic peak 38:4, second one looks good; LDA: removed by MS1 algorithm (+1 isotope)</t>
  </si>
  <si>
    <t>LDA: FP</t>
  </si>
  <si>
    <t>LB: impossible retention time: must elute later</t>
  </si>
  <si>
    <t>NA</t>
  </si>
  <si>
    <t>LB: spectrum matches at the second isotopic peak of PS 38:4</t>
  </si>
  <si>
    <t>LDA: MS1 quantitation - 3D algorithm</t>
  </si>
  <si>
    <t>LB: the spectrum at 25.2min belongs to the second isotopic peak of PC 34:2</t>
  </si>
  <si>
    <t>LB: impossible RT; should elute around 23min</t>
  </si>
  <si>
    <t>LB: spectra before 27.5min belong to the second isotopic peak of 36:2</t>
  </si>
  <si>
    <t>LB: many noisy peaks, no 20:0 fragments, and never detected on any other platform</t>
  </si>
  <si>
    <t>LB: the peak seems to be OK, although a little bit late, but the combinations are wrong;  no fragments there and not found in any other platform</t>
  </si>
  <si>
    <t>26.75602 27.08832 27.50362 27.75310 28.00320 28.28090</t>
  </si>
  <si>
    <t>LB: the spectrum before 27min belongs to the second isotopic peak of PC 38:4</t>
  </si>
  <si>
    <t>24.6260 25.95863</t>
  </si>
  <si>
    <t>LB: the spectrum at 24.6min belongs to the second isotopic peak of PC 38:5; LDA: chain cutoff</t>
  </si>
  <si>
    <t>LDA: peak is overlapped by an isotopic peak</t>
  </si>
  <si>
    <t>LB: spectra at 26min belong to PE 40:6</t>
  </si>
  <si>
    <t>LB: spectrum belongs to second isotopic peak of PC 40:6</t>
  </si>
  <si>
    <t>LB: there are whether for 18:1 nor for 22:5 fragments present, but it has been found on other platforms -&gt; correct</t>
  </si>
  <si>
    <t>LB: there are whether for 18:4 nor for 22:2 fragments present</t>
  </si>
  <si>
    <t>26.18025 26.48548</t>
  </si>
  <si>
    <t>LDA: removed by head rule "NL_PChead_60&lt;0.2*Precursor"</t>
  </si>
  <si>
    <t>LDA: removed by rule "NL_PChead_60&gt;0.5*Precursor"</t>
  </si>
  <si>
    <t>38:2_FP</t>
  </si>
  <si>
    <t>18:1/20:1_FP</t>
  </si>
  <si>
    <t>LB: this spectrum belongs to the second isotopic peak of PE38:4</t>
  </si>
  <si>
    <t>LB: FP - this peak belongs to PC36:2_-CH3</t>
  </si>
  <si>
    <t>38:3_FP</t>
  </si>
  <si>
    <t>18:0/20:3_FP</t>
  </si>
  <si>
    <t>24.44572 25.61607</t>
  </si>
  <si>
    <t>LB: the spectrum at 24.4min belongs to the second isotopic peak of PE38:6; LDA: chain cutoff</t>
  </si>
  <si>
    <t>LDA: FP chain</t>
  </si>
  <si>
    <t>18:0/22:4_FP</t>
  </si>
  <si>
    <t>LB: this spectrum belongs to the second isotopic peak of PE40:6</t>
  </si>
  <si>
    <t>LB: spectra before 25min belong to the second isotopic peak of PE40:7</t>
  </si>
  <si>
    <t>LDA: removed by MS1 algorithm; +1 isotopic peak is stronger than +0 peak</t>
  </si>
  <si>
    <t>LB: FP - this peak belongs to PC38:4_-CH3</t>
  </si>
  <si>
    <t>LB: this peak belongs to SM16:0</t>
  </si>
  <si>
    <t>34:1_FP</t>
  </si>
  <si>
    <t>LB: retention time impossible</t>
  </si>
  <si>
    <t>16:0/18:1_FP</t>
  </si>
  <si>
    <t>LDA: retention time impossible</t>
  </si>
  <si>
    <t>LB: this is something else - hardly any peak annotated</t>
  </si>
  <si>
    <t>LB: seems to be correct; LDA, but the peak at 27.1min is wrong: removed since no head group fragments were found</t>
  </si>
  <si>
    <t>LB: this is not a PI spectrum</t>
  </si>
  <si>
    <t>Species evaluation - every adduct is counted independently</t>
  </si>
  <si>
    <t>LDA MS1 identified</t>
  </si>
  <si>
    <t>LBlast MS1 identified</t>
  </si>
  <si>
    <t>LDA MS1 PPV</t>
  </si>
  <si>
    <t>LBlast MS1 PPV</t>
  </si>
  <si>
    <t>LDA MS2 identified</t>
  </si>
  <si>
    <t>LBlast MS2 identified</t>
  </si>
  <si>
    <t>LDA MS2 PPV</t>
  </si>
  <si>
    <t>LBlast MS2 PPV</t>
  </si>
  <si>
    <t>7/8</t>
  </si>
  <si>
    <t>7/7</t>
  </si>
  <si>
    <t>7/10</t>
  </si>
  <si>
    <t>4/7</t>
  </si>
  <si>
    <t>4/4</t>
  </si>
  <si>
    <t>2/2</t>
  </si>
  <si>
    <t>2/3</t>
  </si>
  <si>
    <t>3/3</t>
  </si>
  <si>
    <t>0/3</t>
  </si>
  <si>
    <t>3/4</t>
  </si>
  <si>
    <t>23/27</t>
  </si>
  <si>
    <t>25/27</t>
  </si>
  <si>
    <t>23/23</t>
  </si>
  <si>
    <t>25/38</t>
  </si>
  <si>
    <t>27/32</t>
  </si>
  <si>
    <t>28/32</t>
  </si>
  <si>
    <t>27/27</t>
  </si>
  <si>
    <t>28/48</t>
  </si>
  <si>
    <t>13/14</t>
  </si>
  <si>
    <t>10/14</t>
  </si>
  <si>
    <t>13/13</t>
  </si>
  <si>
    <t>10/18</t>
  </si>
  <si>
    <t>16/18</t>
  </si>
  <si>
    <t>12/18</t>
  </si>
  <si>
    <t>16/17</t>
  </si>
  <si>
    <t>12/20</t>
  </si>
  <si>
    <t>1/2</t>
  </si>
  <si>
    <t>2/10</t>
  </si>
  <si>
    <t>Cer</t>
  </si>
  <si>
    <t>no MS/MS</t>
  </si>
  <si>
    <t>Total</t>
  </si>
  <si>
    <t>51/59</t>
  </si>
  <si>
    <t>49/59</t>
  </si>
  <si>
    <t>51/53</t>
  </si>
  <si>
    <t>49/83</t>
  </si>
  <si>
    <t>52/64</t>
  </si>
  <si>
    <t>54/64</t>
  </si>
  <si>
    <t>52/54</t>
  </si>
  <si>
    <t>54/95</t>
  </si>
  <si>
    <t>14/16</t>
  </si>
  <si>
    <t>15/16</t>
  </si>
  <si>
    <t>14/14</t>
  </si>
  <si>
    <t>15/24</t>
  </si>
  <si>
    <t>17/20</t>
  </si>
  <si>
    <t>18/20</t>
  </si>
  <si>
    <t>17/17</t>
  </si>
  <si>
    <t>18/35</t>
  </si>
  <si>
    <t>42/48</t>
  </si>
  <si>
    <t>39/48</t>
  </si>
  <si>
    <t>42/44</t>
  </si>
  <si>
    <t>39/69</t>
  </si>
  <si>
    <t>42/52</t>
  </si>
  <si>
    <t>44/52</t>
  </si>
  <si>
    <t>44/82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</si>
</sst>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9" fontId="0" fillId="0" borderId="0" xfId="0" applyNumberFormat="1"/>
    <xf numFmtId="49" fontId="1" fillId="0" borderId="0" xfId="0" applyNumberFormat="1" applyFont="1"/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8" fillId="0" borderId="0" xfId="0" applyFont="1"/>
    <xf numFmtId="49" fontId="7" fillId="0" borderId="0" xfId="0" applyNumberFormat="1" applyFont="1"/>
    <xf numFmtId="0" fontId="10" fillId="0" borderId="0" xfId="0" applyFont="1"/>
    <xf numFmtId="49" fontId="11" fillId="0" borderId="0" xfId="0" applyNumberFormat="1" applyFont="1" applyAlignment="1">
      <alignment horizontal="center"/>
    </xf>
    <xf numFmtId="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J36" sqref="J36"/>
    </sheetView>
  </sheetViews>
  <sheetFormatPr baseColWidth="10" defaultRowHeight="15" x14ac:dyDescent="0.25"/>
  <sheetData>
    <row r="1" spans="1:17" ht="18.75" x14ac:dyDescent="0.3">
      <c r="A1" s="14" t="s">
        <v>464</v>
      </c>
    </row>
    <row r="2" spans="1:17" ht="15.75" x14ac:dyDescent="0.25">
      <c r="A2" s="3"/>
    </row>
    <row r="3" spans="1:17" ht="15.75" x14ac:dyDescent="0.25">
      <c r="B3" s="25" t="s">
        <v>465</v>
      </c>
      <c r="C3" s="25"/>
      <c r="D3" s="25" t="s">
        <v>466</v>
      </c>
      <c r="E3" s="25"/>
      <c r="F3" s="25" t="s">
        <v>467</v>
      </c>
      <c r="G3" s="25"/>
      <c r="H3" s="25" t="s">
        <v>468</v>
      </c>
      <c r="I3" s="25"/>
      <c r="J3" s="25" t="s">
        <v>469</v>
      </c>
      <c r="K3" s="25"/>
      <c r="L3" s="25" t="s">
        <v>470</v>
      </c>
      <c r="M3" s="25"/>
      <c r="N3" s="25" t="s">
        <v>471</v>
      </c>
      <c r="O3" s="25"/>
      <c r="P3" s="25" t="s">
        <v>472</v>
      </c>
      <c r="Q3" s="25"/>
    </row>
    <row r="4" spans="1:17" ht="15.75" x14ac:dyDescent="0.25">
      <c r="A4" s="3" t="s">
        <v>18</v>
      </c>
      <c r="B4" s="15" t="s">
        <v>473</v>
      </c>
      <c r="C4" s="16">
        <f>7/8</f>
        <v>0.875</v>
      </c>
      <c r="D4" s="15" t="s">
        <v>473</v>
      </c>
      <c r="E4" s="16">
        <f>7/8</f>
        <v>0.875</v>
      </c>
      <c r="F4" s="15" t="s">
        <v>474</v>
      </c>
      <c r="G4" s="16">
        <f>7/7</f>
        <v>1</v>
      </c>
      <c r="H4" s="15" t="s">
        <v>475</v>
      </c>
      <c r="I4" s="16">
        <f>7/10</f>
        <v>0.7</v>
      </c>
      <c r="J4" s="15" t="s">
        <v>476</v>
      </c>
      <c r="K4" s="16">
        <f>4/7</f>
        <v>0.5714285714285714</v>
      </c>
      <c r="L4" s="15" t="s">
        <v>474</v>
      </c>
      <c r="M4" s="16">
        <f>7/7</f>
        <v>1</v>
      </c>
      <c r="N4" s="15" t="s">
        <v>477</v>
      </c>
      <c r="O4" s="16">
        <f>4/4</f>
        <v>1</v>
      </c>
      <c r="P4" s="15" t="s">
        <v>475</v>
      </c>
      <c r="Q4" s="16">
        <f>7/10</f>
        <v>0.7</v>
      </c>
    </row>
    <row r="5" spans="1:17" ht="15.75" x14ac:dyDescent="0.25">
      <c r="A5" s="3" t="s">
        <v>97</v>
      </c>
      <c r="B5" s="15" t="s">
        <v>478</v>
      </c>
      <c r="C5" s="16">
        <f>2/2</f>
        <v>1</v>
      </c>
      <c r="D5" s="15" t="s">
        <v>478</v>
      </c>
      <c r="E5" s="16">
        <f>2/2</f>
        <v>1</v>
      </c>
      <c r="F5" s="15" t="s">
        <v>479</v>
      </c>
      <c r="G5" s="16">
        <f>2/3</f>
        <v>0.66666666666666663</v>
      </c>
      <c r="H5" s="15" t="s">
        <v>479</v>
      </c>
      <c r="I5" s="16">
        <f>2/3</f>
        <v>0.66666666666666663</v>
      </c>
      <c r="J5" s="15" t="s">
        <v>478</v>
      </c>
      <c r="K5" s="16">
        <f>2/2</f>
        <v>1</v>
      </c>
      <c r="L5" s="15" t="s">
        <v>478</v>
      </c>
      <c r="M5" s="16">
        <f>2/2</f>
        <v>1</v>
      </c>
      <c r="N5" s="15" t="s">
        <v>478</v>
      </c>
      <c r="O5" s="16">
        <f>2/2</f>
        <v>1</v>
      </c>
      <c r="P5" s="15" t="s">
        <v>479</v>
      </c>
      <c r="Q5" s="16">
        <f>2/3</f>
        <v>0.66666666666666663</v>
      </c>
    </row>
    <row r="6" spans="1:17" ht="15.75" x14ac:dyDescent="0.25">
      <c r="A6" s="3" t="s">
        <v>113</v>
      </c>
      <c r="B6" s="15" t="s">
        <v>480</v>
      </c>
      <c r="C6" s="16">
        <f>3/3</f>
        <v>1</v>
      </c>
      <c r="D6" s="15" t="s">
        <v>481</v>
      </c>
      <c r="E6" s="16">
        <f>0/3</f>
        <v>0</v>
      </c>
      <c r="F6" s="15" t="s">
        <v>480</v>
      </c>
      <c r="G6" s="16">
        <f>3/3</f>
        <v>1</v>
      </c>
      <c r="H6" s="15" t="s">
        <v>422</v>
      </c>
      <c r="I6" s="15" t="s">
        <v>422</v>
      </c>
      <c r="J6" s="15" t="s">
        <v>422</v>
      </c>
      <c r="K6" s="15" t="s">
        <v>422</v>
      </c>
      <c r="L6" s="15" t="s">
        <v>422</v>
      </c>
      <c r="M6" s="15" t="s">
        <v>422</v>
      </c>
      <c r="N6" s="15" t="s">
        <v>422</v>
      </c>
      <c r="O6" s="15" t="s">
        <v>422</v>
      </c>
      <c r="P6" s="15" t="s">
        <v>422</v>
      </c>
      <c r="Q6" s="15" t="s">
        <v>422</v>
      </c>
    </row>
    <row r="7" spans="1:17" ht="15.75" x14ac:dyDescent="0.25">
      <c r="A7" s="3" t="s">
        <v>123</v>
      </c>
      <c r="B7" s="15" t="s">
        <v>479</v>
      </c>
      <c r="C7" s="16">
        <f>2/3</f>
        <v>0.66666666666666663</v>
      </c>
      <c r="D7" s="15" t="s">
        <v>480</v>
      </c>
      <c r="E7" s="16">
        <f>3/3</f>
        <v>1</v>
      </c>
      <c r="F7" s="15" t="s">
        <v>478</v>
      </c>
      <c r="G7" s="16">
        <f>2/2</f>
        <v>1</v>
      </c>
      <c r="H7" s="15" t="s">
        <v>482</v>
      </c>
      <c r="I7" s="16">
        <f>3/4</f>
        <v>0.75</v>
      </c>
      <c r="J7" s="15" t="s">
        <v>479</v>
      </c>
      <c r="K7" s="16">
        <f>2/3</f>
        <v>0.66666666666666663</v>
      </c>
      <c r="L7" s="15" t="s">
        <v>480</v>
      </c>
      <c r="M7" s="16">
        <f>3/3</f>
        <v>1</v>
      </c>
      <c r="N7" s="15" t="s">
        <v>478</v>
      </c>
      <c r="O7" s="16">
        <f>2/2</f>
        <v>1</v>
      </c>
      <c r="P7" s="15" t="s">
        <v>482</v>
      </c>
      <c r="Q7" s="16">
        <f>3/4</f>
        <v>0.75</v>
      </c>
    </row>
    <row r="8" spans="1:17" ht="15.75" x14ac:dyDescent="0.25">
      <c r="A8" s="3" t="s">
        <v>132</v>
      </c>
      <c r="B8" s="15" t="s">
        <v>483</v>
      </c>
      <c r="C8" s="16">
        <f>23/27</f>
        <v>0.85185185185185186</v>
      </c>
      <c r="D8" s="15" t="s">
        <v>484</v>
      </c>
      <c r="E8" s="16">
        <f>25/27</f>
        <v>0.92592592592592593</v>
      </c>
      <c r="F8" s="15" t="s">
        <v>485</v>
      </c>
      <c r="G8" s="16">
        <f>23/23</f>
        <v>1</v>
      </c>
      <c r="H8" s="15" t="s">
        <v>486</v>
      </c>
      <c r="I8" s="16">
        <f>25/38</f>
        <v>0.65789473684210531</v>
      </c>
      <c r="J8" s="15" t="s">
        <v>487</v>
      </c>
      <c r="K8" s="16">
        <f>27/32</f>
        <v>0.84375</v>
      </c>
      <c r="L8" s="15" t="s">
        <v>488</v>
      </c>
      <c r="M8" s="16">
        <f>28/32</f>
        <v>0.875</v>
      </c>
      <c r="N8" s="15" t="s">
        <v>489</v>
      </c>
      <c r="O8" s="16">
        <f>27/27</f>
        <v>1</v>
      </c>
      <c r="P8" s="15" t="s">
        <v>490</v>
      </c>
      <c r="Q8" s="16">
        <f>28/48</f>
        <v>0.58333333333333337</v>
      </c>
    </row>
    <row r="9" spans="1:17" ht="15.75" x14ac:dyDescent="0.25">
      <c r="A9" s="3" t="s">
        <v>317</v>
      </c>
      <c r="B9" s="15" t="s">
        <v>491</v>
      </c>
      <c r="C9" s="16">
        <f>13/14</f>
        <v>0.9285714285714286</v>
      </c>
      <c r="D9" s="15" t="s">
        <v>492</v>
      </c>
      <c r="E9" s="16">
        <f>10/14</f>
        <v>0.7142857142857143</v>
      </c>
      <c r="F9" s="15" t="s">
        <v>493</v>
      </c>
      <c r="G9" s="16">
        <f>13/13</f>
        <v>1</v>
      </c>
      <c r="H9" s="15" t="s">
        <v>494</v>
      </c>
      <c r="I9" s="16">
        <f>10/18</f>
        <v>0.55555555555555558</v>
      </c>
      <c r="J9" s="15" t="s">
        <v>495</v>
      </c>
      <c r="K9" s="16">
        <f>16/18</f>
        <v>0.88888888888888884</v>
      </c>
      <c r="L9" s="15" t="s">
        <v>496</v>
      </c>
      <c r="M9" s="16">
        <f>12/18</f>
        <v>0.66666666666666663</v>
      </c>
      <c r="N9" s="15" t="s">
        <v>497</v>
      </c>
      <c r="O9" s="16">
        <f>16/17</f>
        <v>0.94117647058823528</v>
      </c>
      <c r="P9" s="15" t="s">
        <v>498</v>
      </c>
      <c r="Q9" s="16">
        <f>12/20</f>
        <v>0.6</v>
      </c>
    </row>
    <row r="10" spans="1:17" ht="15.75" x14ac:dyDescent="0.25">
      <c r="A10" s="3" t="s">
        <v>380</v>
      </c>
      <c r="B10" s="15" t="s">
        <v>499</v>
      </c>
      <c r="C10" s="16">
        <f>1/2</f>
        <v>0.5</v>
      </c>
      <c r="D10" s="15" t="s">
        <v>478</v>
      </c>
      <c r="E10" s="16">
        <f>2/2</f>
        <v>1</v>
      </c>
      <c r="F10" s="15" t="s">
        <v>499</v>
      </c>
      <c r="G10" s="16">
        <f>1/2</f>
        <v>0.5</v>
      </c>
      <c r="H10" s="15" t="s">
        <v>500</v>
      </c>
      <c r="I10" s="16">
        <f>2/10</f>
        <v>0.2</v>
      </c>
      <c r="J10" s="15" t="s">
        <v>499</v>
      </c>
      <c r="K10" s="16">
        <f>1/2</f>
        <v>0.5</v>
      </c>
      <c r="L10" s="15" t="s">
        <v>478</v>
      </c>
      <c r="M10" s="16">
        <f>2/2</f>
        <v>1</v>
      </c>
      <c r="N10" s="15" t="s">
        <v>499</v>
      </c>
      <c r="O10" s="16">
        <f>1/2</f>
        <v>0.5</v>
      </c>
      <c r="P10" s="15" t="s">
        <v>500</v>
      </c>
      <c r="Q10" s="16">
        <f>2/10</f>
        <v>0.2</v>
      </c>
    </row>
    <row r="11" spans="1:17" ht="15.75" x14ac:dyDescent="0.25">
      <c r="A11" s="3" t="s">
        <v>501</v>
      </c>
      <c r="B11" s="17" t="s">
        <v>502</v>
      </c>
      <c r="C11" s="18"/>
      <c r="D11" s="19"/>
      <c r="E11" s="19"/>
      <c r="F11" s="18"/>
      <c r="G11" s="18"/>
      <c r="H11" s="19"/>
      <c r="I11" s="19"/>
      <c r="J11" s="18"/>
      <c r="K11" s="18"/>
      <c r="L11" s="19"/>
      <c r="M11" s="19"/>
      <c r="N11" s="18"/>
      <c r="O11" s="18"/>
      <c r="P11" s="20"/>
      <c r="Q11" s="19"/>
    </row>
    <row r="12" spans="1:17" x14ac:dyDescent="0.25">
      <c r="B12" s="15"/>
      <c r="C12" s="18"/>
      <c r="D12" s="19"/>
      <c r="E12" s="19"/>
      <c r="F12" s="18"/>
      <c r="G12" s="18"/>
      <c r="H12" s="19"/>
      <c r="I12" s="19"/>
      <c r="J12" s="18"/>
      <c r="K12" s="18"/>
      <c r="L12" s="19"/>
      <c r="M12" s="19"/>
      <c r="N12" s="18"/>
      <c r="O12" s="18"/>
      <c r="P12" s="20"/>
      <c r="Q12" s="19"/>
    </row>
    <row r="13" spans="1:17" ht="15.75" x14ac:dyDescent="0.25">
      <c r="A13" s="3" t="s">
        <v>503</v>
      </c>
      <c r="B13" s="15" t="s">
        <v>504</v>
      </c>
      <c r="C13" s="16">
        <f>51/59</f>
        <v>0.86440677966101698</v>
      </c>
      <c r="D13" s="15" t="s">
        <v>505</v>
      </c>
      <c r="E13" s="16">
        <f>49/59</f>
        <v>0.83050847457627119</v>
      </c>
      <c r="F13" s="15" t="s">
        <v>506</v>
      </c>
      <c r="G13" s="16">
        <f>51/53</f>
        <v>0.96226415094339623</v>
      </c>
      <c r="H13" s="15" t="s">
        <v>507</v>
      </c>
      <c r="I13" s="16">
        <f>49/83</f>
        <v>0.59036144578313254</v>
      </c>
      <c r="J13" s="15" t="s">
        <v>508</v>
      </c>
      <c r="K13" s="16">
        <f>52/64</f>
        <v>0.8125</v>
      </c>
      <c r="L13" s="15" t="s">
        <v>509</v>
      </c>
      <c r="M13" s="16">
        <f>54/64</f>
        <v>0.84375</v>
      </c>
      <c r="N13" s="15" t="s">
        <v>510</v>
      </c>
      <c r="O13" s="16">
        <f>52/54</f>
        <v>0.96296296296296291</v>
      </c>
      <c r="P13" s="15" t="s">
        <v>511</v>
      </c>
      <c r="Q13" s="16">
        <f>54/95</f>
        <v>0.56842105263157894</v>
      </c>
    </row>
    <row r="14" spans="1:17" x14ac:dyDescent="0.2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  <c r="Q14" s="21"/>
    </row>
    <row r="15" spans="1:17" x14ac:dyDescent="0.25">
      <c r="P15" s="22"/>
      <c r="Q15" s="21"/>
    </row>
    <row r="16" spans="1:17" x14ac:dyDescent="0.25">
      <c r="P16" s="22"/>
      <c r="Q16" s="21"/>
    </row>
    <row r="17" spans="1:17" x14ac:dyDescent="0.25">
      <c r="P17" s="22"/>
      <c r="Q17" s="21"/>
    </row>
    <row r="18" spans="1:17" ht="18.75" x14ac:dyDescent="0.3">
      <c r="A18" s="14" t="s">
        <v>68</v>
      </c>
      <c r="P18" s="22"/>
      <c r="Q18" s="21"/>
    </row>
    <row r="19" spans="1:17" x14ac:dyDescent="0.25">
      <c r="P19" s="23"/>
    </row>
    <row r="20" spans="1:17" ht="15.75" x14ac:dyDescent="0.25">
      <c r="B20" s="25" t="s">
        <v>465</v>
      </c>
      <c r="C20" s="25"/>
      <c r="D20" s="25" t="s">
        <v>466</v>
      </c>
      <c r="E20" s="25"/>
      <c r="F20" s="25" t="s">
        <v>467</v>
      </c>
      <c r="G20" s="25"/>
      <c r="H20" s="25" t="s">
        <v>468</v>
      </c>
      <c r="I20" s="25"/>
      <c r="J20" s="25" t="s">
        <v>469</v>
      </c>
      <c r="K20" s="25"/>
      <c r="L20" s="25" t="s">
        <v>470</v>
      </c>
      <c r="M20" s="25"/>
      <c r="N20" s="25" t="s">
        <v>471</v>
      </c>
      <c r="O20" s="25"/>
      <c r="P20" s="25" t="s">
        <v>472</v>
      </c>
      <c r="Q20" s="25"/>
    </row>
    <row r="21" spans="1:17" ht="15.75" x14ac:dyDescent="0.25">
      <c r="A21" s="3" t="s">
        <v>18</v>
      </c>
      <c r="B21" s="15" t="s">
        <v>473</v>
      </c>
      <c r="C21" s="16">
        <f>7/8</f>
        <v>0.875</v>
      </c>
      <c r="D21" s="15" t="s">
        <v>473</v>
      </c>
      <c r="E21" s="16">
        <f>7/8</f>
        <v>0.875</v>
      </c>
      <c r="F21" s="15" t="s">
        <v>474</v>
      </c>
      <c r="G21" s="16">
        <f>7/7</f>
        <v>1</v>
      </c>
      <c r="H21" s="15" t="s">
        <v>475</v>
      </c>
      <c r="I21" s="16">
        <f>7/10</f>
        <v>0.7</v>
      </c>
      <c r="J21" s="15" t="s">
        <v>476</v>
      </c>
      <c r="K21" s="16">
        <f>4/7</f>
        <v>0.5714285714285714</v>
      </c>
      <c r="L21" s="15" t="s">
        <v>474</v>
      </c>
      <c r="M21" s="16">
        <f>7/7</f>
        <v>1</v>
      </c>
      <c r="N21" s="15" t="s">
        <v>477</v>
      </c>
      <c r="O21" s="16">
        <f>4/4</f>
        <v>1</v>
      </c>
      <c r="P21" s="15" t="s">
        <v>475</v>
      </c>
      <c r="Q21" s="16">
        <f>7/10</f>
        <v>0.7</v>
      </c>
    </row>
    <row r="22" spans="1:17" ht="15.75" x14ac:dyDescent="0.25">
      <c r="A22" s="3" t="s">
        <v>97</v>
      </c>
      <c r="B22" s="15" t="s">
        <v>478</v>
      </c>
      <c r="C22" s="16">
        <f>2/2</f>
        <v>1</v>
      </c>
      <c r="D22" s="15" t="s">
        <v>478</v>
      </c>
      <c r="E22" s="16">
        <f>2/2</f>
        <v>1</v>
      </c>
      <c r="F22" s="15" t="s">
        <v>479</v>
      </c>
      <c r="G22" s="16">
        <f>2/3</f>
        <v>0.66666666666666663</v>
      </c>
      <c r="H22" s="15" t="s">
        <v>479</v>
      </c>
      <c r="I22" s="16">
        <f>2/3</f>
        <v>0.66666666666666663</v>
      </c>
      <c r="J22" s="15" t="s">
        <v>478</v>
      </c>
      <c r="K22" s="16">
        <f>2/2</f>
        <v>1</v>
      </c>
      <c r="L22" s="15" t="s">
        <v>478</v>
      </c>
      <c r="M22" s="16">
        <f>2/2</f>
        <v>1</v>
      </c>
      <c r="N22" s="15" t="s">
        <v>478</v>
      </c>
      <c r="O22" s="16">
        <f>2/2</f>
        <v>1</v>
      </c>
      <c r="P22" s="15" t="s">
        <v>479</v>
      </c>
      <c r="Q22" s="15" t="s">
        <v>422</v>
      </c>
    </row>
    <row r="23" spans="1:17" ht="15.75" x14ac:dyDescent="0.25">
      <c r="A23" s="3" t="s">
        <v>113</v>
      </c>
      <c r="B23" s="15" t="s">
        <v>480</v>
      </c>
      <c r="C23" s="16">
        <f>3/3</f>
        <v>1</v>
      </c>
      <c r="D23" s="15" t="s">
        <v>481</v>
      </c>
      <c r="E23" s="16">
        <f>0/3</f>
        <v>0</v>
      </c>
      <c r="F23" s="15" t="s">
        <v>480</v>
      </c>
      <c r="G23" s="16">
        <f>3/3</f>
        <v>1</v>
      </c>
      <c r="H23" s="15" t="s">
        <v>422</v>
      </c>
      <c r="I23" s="15" t="s">
        <v>422</v>
      </c>
      <c r="J23" s="15" t="s">
        <v>422</v>
      </c>
      <c r="K23" s="15" t="s">
        <v>422</v>
      </c>
      <c r="L23" s="15" t="s">
        <v>422</v>
      </c>
      <c r="M23" s="15" t="s">
        <v>422</v>
      </c>
      <c r="N23" s="15" t="s">
        <v>422</v>
      </c>
      <c r="O23" s="15" t="s">
        <v>422</v>
      </c>
      <c r="P23" s="15" t="s">
        <v>422</v>
      </c>
      <c r="Q23" s="15" t="s">
        <v>422</v>
      </c>
    </row>
    <row r="24" spans="1:17" ht="15.75" x14ac:dyDescent="0.25">
      <c r="A24" s="3" t="s">
        <v>123</v>
      </c>
      <c r="B24" s="15" t="s">
        <v>479</v>
      </c>
      <c r="C24" s="16">
        <f>2/3</f>
        <v>0.66666666666666663</v>
      </c>
      <c r="D24" s="15" t="s">
        <v>480</v>
      </c>
      <c r="E24" s="16">
        <f>3/3</f>
        <v>1</v>
      </c>
      <c r="F24" s="15" t="s">
        <v>478</v>
      </c>
      <c r="G24" s="16">
        <f>2/2</f>
        <v>1</v>
      </c>
      <c r="H24" s="15" t="s">
        <v>482</v>
      </c>
      <c r="I24" s="16">
        <f>3/4</f>
        <v>0.75</v>
      </c>
      <c r="J24" s="15" t="s">
        <v>479</v>
      </c>
      <c r="K24" s="16">
        <f>2/3</f>
        <v>0.66666666666666663</v>
      </c>
      <c r="L24" s="15" t="s">
        <v>480</v>
      </c>
      <c r="M24" s="16">
        <f>3/3</f>
        <v>1</v>
      </c>
      <c r="N24" s="15" t="s">
        <v>478</v>
      </c>
      <c r="O24" s="16">
        <f>2/2</f>
        <v>1</v>
      </c>
      <c r="P24" s="15" t="s">
        <v>482</v>
      </c>
      <c r="Q24" s="16">
        <f>3/4</f>
        <v>0.75</v>
      </c>
    </row>
    <row r="25" spans="1:17" ht="15.75" x14ac:dyDescent="0.25">
      <c r="A25" s="3" t="s">
        <v>132</v>
      </c>
      <c r="B25" s="15" t="s">
        <v>512</v>
      </c>
      <c r="C25" s="16">
        <f>14/16</f>
        <v>0.875</v>
      </c>
      <c r="D25" s="15" t="s">
        <v>513</v>
      </c>
      <c r="E25" s="16">
        <f>15/16</f>
        <v>0.9375</v>
      </c>
      <c r="F25" s="15" t="s">
        <v>514</v>
      </c>
      <c r="G25" s="16">
        <f>14/14</f>
        <v>1</v>
      </c>
      <c r="H25" s="15" t="s">
        <v>515</v>
      </c>
      <c r="I25" s="16">
        <f>15/24</f>
        <v>0.625</v>
      </c>
      <c r="J25" s="15" t="s">
        <v>516</v>
      </c>
      <c r="K25" s="16">
        <f>17/20</f>
        <v>0.85</v>
      </c>
      <c r="L25" s="15" t="s">
        <v>517</v>
      </c>
      <c r="M25" s="16">
        <f>18/20</f>
        <v>0.9</v>
      </c>
      <c r="N25" s="15" t="s">
        <v>518</v>
      </c>
      <c r="O25" s="16">
        <f>17/17</f>
        <v>1</v>
      </c>
      <c r="P25" s="15" t="s">
        <v>519</v>
      </c>
      <c r="Q25" s="16">
        <f>18/35</f>
        <v>0.51428571428571423</v>
      </c>
    </row>
    <row r="26" spans="1:17" ht="15.75" x14ac:dyDescent="0.25">
      <c r="A26" s="3" t="s">
        <v>317</v>
      </c>
      <c r="B26" s="15" t="s">
        <v>491</v>
      </c>
      <c r="C26" s="16">
        <f>13/14</f>
        <v>0.9285714285714286</v>
      </c>
      <c r="D26" s="15" t="s">
        <v>492</v>
      </c>
      <c r="E26" s="16">
        <f>10/14</f>
        <v>0.7142857142857143</v>
      </c>
      <c r="F26" s="15" t="s">
        <v>493</v>
      </c>
      <c r="G26" s="16">
        <f>13/13</f>
        <v>1</v>
      </c>
      <c r="H26" s="15" t="s">
        <v>494</v>
      </c>
      <c r="I26" s="16">
        <f>10/18</f>
        <v>0.55555555555555558</v>
      </c>
      <c r="J26" s="15" t="s">
        <v>495</v>
      </c>
      <c r="K26" s="16">
        <f>16/18</f>
        <v>0.88888888888888884</v>
      </c>
      <c r="L26" s="15" t="s">
        <v>496</v>
      </c>
      <c r="M26" s="16">
        <f>12/18</f>
        <v>0.66666666666666663</v>
      </c>
      <c r="N26" s="15" t="s">
        <v>497</v>
      </c>
      <c r="O26" s="16">
        <f>16/17</f>
        <v>0.94117647058823528</v>
      </c>
      <c r="P26" s="15" t="s">
        <v>498</v>
      </c>
      <c r="Q26" s="16">
        <f>12/20</f>
        <v>0.6</v>
      </c>
    </row>
    <row r="27" spans="1:17" ht="15.75" x14ac:dyDescent="0.25">
      <c r="A27" s="3" t="s">
        <v>380</v>
      </c>
      <c r="B27" s="15" t="s">
        <v>499</v>
      </c>
      <c r="C27" s="16">
        <f>1/2</f>
        <v>0.5</v>
      </c>
      <c r="D27" s="15" t="s">
        <v>478</v>
      </c>
      <c r="E27" s="16">
        <f>2/2</f>
        <v>1</v>
      </c>
      <c r="F27" s="15" t="s">
        <v>499</v>
      </c>
      <c r="G27" s="16">
        <f>1/2</f>
        <v>0.5</v>
      </c>
      <c r="H27" s="15" t="s">
        <v>500</v>
      </c>
      <c r="I27" s="16">
        <f>2/10</f>
        <v>0.2</v>
      </c>
      <c r="J27" s="15" t="s">
        <v>499</v>
      </c>
      <c r="K27" s="16">
        <f>1/2</f>
        <v>0.5</v>
      </c>
      <c r="L27" s="15" t="s">
        <v>478</v>
      </c>
      <c r="M27" s="16">
        <f>2/2</f>
        <v>1</v>
      </c>
      <c r="N27" s="15" t="s">
        <v>499</v>
      </c>
      <c r="O27" s="16">
        <f>1/2</f>
        <v>0.5</v>
      </c>
      <c r="P27" s="15" t="s">
        <v>500</v>
      </c>
      <c r="Q27" s="16">
        <f>2/10</f>
        <v>0.2</v>
      </c>
    </row>
    <row r="28" spans="1:17" ht="15.75" x14ac:dyDescent="0.25">
      <c r="A28" s="3" t="s">
        <v>501</v>
      </c>
      <c r="B28" s="24" t="s">
        <v>502</v>
      </c>
      <c r="C28" s="18"/>
      <c r="D28" s="19"/>
      <c r="E28" s="19"/>
      <c r="F28" s="18"/>
      <c r="G28" s="18"/>
      <c r="H28" s="19"/>
      <c r="I28" s="19"/>
      <c r="J28" s="18"/>
      <c r="K28" s="18"/>
      <c r="L28" s="19"/>
      <c r="M28" s="19"/>
      <c r="N28" s="18"/>
      <c r="O28" s="18"/>
      <c r="P28" s="20"/>
      <c r="Q28" s="19"/>
    </row>
    <row r="29" spans="1:17" x14ac:dyDescent="0.25">
      <c r="B29" s="18"/>
      <c r="C29" s="18"/>
      <c r="D29" s="19"/>
      <c r="E29" s="19"/>
      <c r="F29" s="18"/>
      <c r="G29" s="18"/>
      <c r="H29" s="19"/>
      <c r="I29" s="19"/>
      <c r="J29" s="18"/>
      <c r="K29" s="18"/>
      <c r="L29" s="19"/>
      <c r="M29" s="19"/>
      <c r="N29" s="18"/>
      <c r="O29" s="18"/>
      <c r="P29" s="20"/>
      <c r="Q29" s="19"/>
    </row>
    <row r="30" spans="1:17" ht="15.75" x14ac:dyDescent="0.25">
      <c r="A30" s="3" t="s">
        <v>503</v>
      </c>
      <c r="B30" s="15" t="s">
        <v>520</v>
      </c>
      <c r="C30" s="16">
        <f>42/48</f>
        <v>0.875</v>
      </c>
      <c r="D30" s="15" t="s">
        <v>521</v>
      </c>
      <c r="E30" s="16">
        <f>39/48</f>
        <v>0.8125</v>
      </c>
      <c r="F30" s="15" t="s">
        <v>522</v>
      </c>
      <c r="G30" s="16">
        <f>42/44</f>
        <v>0.95454545454545459</v>
      </c>
      <c r="H30" s="15" t="s">
        <v>523</v>
      </c>
      <c r="I30" s="16">
        <f>39/69</f>
        <v>0.56521739130434778</v>
      </c>
      <c r="J30" s="15" t="s">
        <v>524</v>
      </c>
      <c r="K30" s="16">
        <f>42/52</f>
        <v>0.80769230769230771</v>
      </c>
      <c r="L30" s="15" t="s">
        <v>525</v>
      </c>
      <c r="M30" s="16">
        <f>44/52</f>
        <v>0.84615384615384615</v>
      </c>
      <c r="N30" s="15" t="s">
        <v>522</v>
      </c>
      <c r="O30" s="16">
        <f>42/44</f>
        <v>0.95454545454545459</v>
      </c>
      <c r="P30" s="15" t="s">
        <v>526</v>
      </c>
      <c r="Q30" s="16">
        <f>44/82</f>
        <v>0.53658536585365857</v>
      </c>
    </row>
  </sheetData>
  <mergeCells count="16">
    <mergeCell ref="N3:O3"/>
    <mergeCell ref="P3:Q3"/>
    <mergeCell ref="B20:C20"/>
    <mergeCell ref="D20:E20"/>
    <mergeCell ref="F20:G20"/>
    <mergeCell ref="H20:I20"/>
    <mergeCell ref="J20:K20"/>
    <mergeCell ref="L20:M20"/>
    <mergeCell ref="N20:O20"/>
    <mergeCell ref="P20:Q20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topLeftCell="A4"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1" t="s">
        <v>19</v>
      </c>
      <c r="C2" t="s">
        <v>20</v>
      </c>
      <c r="D2" t="s">
        <v>21</v>
      </c>
      <c r="E2" s="5" t="s">
        <v>22</v>
      </c>
      <c r="F2">
        <v>0</v>
      </c>
      <c r="G2" s="5">
        <v>-2</v>
      </c>
      <c r="H2" s="5" t="s">
        <v>23</v>
      </c>
      <c r="I2" t="s">
        <v>21</v>
      </c>
      <c r="J2" s="5" t="s">
        <v>24</v>
      </c>
      <c r="K2">
        <v>0</v>
      </c>
      <c r="L2" s="5">
        <v>-2</v>
      </c>
      <c r="M2" t="s">
        <v>17</v>
      </c>
      <c r="N2" t="s">
        <v>17</v>
      </c>
      <c r="O2" t="s">
        <v>25</v>
      </c>
      <c r="P2">
        <v>25</v>
      </c>
      <c r="Q2" t="s">
        <v>463</v>
      </c>
    </row>
    <row r="3" spans="1:21" x14ac:dyDescent="0.25">
      <c r="A3" t="s">
        <v>18</v>
      </c>
      <c r="B3" s="1" t="s">
        <v>26</v>
      </c>
      <c r="C3" t="s">
        <v>20</v>
      </c>
      <c r="D3" s="1" t="s">
        <v>26</v>
      </c>
      <c r="E3" s="1" t="s">
        <v>26</v>
      </c>
      <c r="F3" s="1">
        <v>2</v>
      </c>
      <c r="G3" s="1">
        <v>2</v>
      </c>
      <c r="H3" s="1" t="s">
        <v>27</v>
      </c>
      <c r="I3" s="5" t="s">
        <v>21</v>
      </c>
      <c r="J3" s="1" t="s">
        <v>27</v>
      </c>
      <c r="K3" s="5">
        <v>-1</v>
      </c>
      <c r="L3" s="1">
        <v>2</v>
      </c>
      <c r="M3" t="s">
        <v>28</v>
      </c>
      <c r="N3" t="s">
        <v>17</v>
      </c>
      <c r="O3" t="s">
        <v>29</v>
      </c>
      <c r="P3">
        <v>7.6</v>
      </c>
      <c r="Q3" t="s">
        <v>417</v>
      </c>
    </row>
    <row r="4" spans="1:21" x14ac:dyDescent="0.25">
      <c r="A4" t="s">
        <v>18</v>
      </c>
      <c r="B4" s="5" t="s">
        <v>30</v>
      </c>
      <c r="C4" t="s">
        <v>20</v>
      </c>
      <c r="D4" t="s">
        <v>21</v>
      </c>
      <c r="E4" s="5" t="s">
        <v>31</v>
      </c>
      <c r="F4">
        <v>0</v>
      </c>
      <c r="G4" s="5">
        <v>-2</v>
      </c>
      <c r="H4" s="5" t="s">
        <v>32</v>
      </c>
      <c r="I4" t="s">
        <v>21</v>
      </c>
      <c r="J4" s="5" t="s">
        <v>33</v>
      </c>
      <c r="K4">
        <v>0</v>
      </c>
      <c r="L4" s="5">
        <v>-2</v>
      </c>
      <c r="M4" t="s">
        <v>17</v>
      </c>
      <c r="N4" t="s">
        <v>17</v>
      </c>
      <c r="O4" t="s">
        <v>34</v>
      </c>
      <c r="P4">
        <v>39.200000000000003</v>
      </c>
      <c r="Q4" t="s">
        <v>415</v>
      </c>
    </row>
    <row r="5" spans="1:21" x14ac:dyDescent="0.25">
      <c r="A5" t="s">
        <v>18</v>
      </c>
      <c r="B5" s="1" t="s">
        <v>35</v>
      </c>
      <c r="C5" t="s">
        <v>20</v>
      </c>
      <c r="D5" s="1" t="s">
        <v>35</v>
      </c>
      <c r="E5" s="5" t="s">
        <v>21</v>
      </c>
      <c r="F5" s="1">
        <v>2</v>
      </c>
      <c r="G5" s="5">
        <v>-1</v>
      </c>
      <c r="M5" t="s">
        <v>36</v>
      </c>
      <c r="N5" t="s">
        <v>37</v>
      </c>
      <c r="O5" t="s">
        <v>17</v>
      </c>
    </row>
    <row r="6" spans="1:21" x14ac:dyDescent="0.25">
      <c r="A6" t="s">
        <v>18</v>
      </c>
      <c r="B6" s="1" t="s">
        <v>38</v>
      </c>
      <c r="C6" t="s">
        <v>20</v>
      </c>
      <c r="D6" s="1" t="s">
        <v>38</v>
      </c>
      <c r="E6" s="1" t="s">
        <v>38</v>
      </c>
      <c r="F6" s="1">
        <v>2</v>
      </c>
      <c r="G6" s="1">
        <v>2</v>
      </c>
      <c r="H6" s="1" t="s">
        <v>39</v>
      </c>
      <c r="I6" s="1" t="s">
        <v>39</v>
      </c>
      <c r="J6" s="1" t="s">
        <v>39</v>
      </c>
      <c r="K6" s="1">
        <v>2</v>
      </c>
      <c r="L6" s="1">
        <v>2</v>
      </c>
      <c r="M6" t="s">
        <v>40</v>
      </c>
      <c r="N6" t="s">
        <v>41</v>
      </c>
      <c r="O6" t="s">
        <v>42</v>
      </c>
      <c r="P6">
        <v>15.3</v>
      </c>
    </row>
    <row r="7" spans="1:21" x14ac:dyDescent="0.25">
      <c r="A7" t="s">
        <v>18</v>
      </c>
      <c r="B7" s="1" t="s">
        <v>43</v>
      </c>
      <c r="C7" t="s">
        <v>20</v>
      </c>
      <c r="D7" s="1" t="s">
        <v>43</v>
      </c>
      <c r="E7" s="1" t="s">
        <v>43</v>
      </c>
      <c r="F7" s="1">
        <v>2</v>
      </c>
      <c r="G7" s="1">
        <v>2</v>
      </c>
      <c r="H7" s="1" t="s">
        <v>44</v>
      </c>
      <c r="I7" s="1" t="s">
        <v>44</v>
      </c>
      <c r="J7" s="1" t="s">
        <v>44</v>
      </c>
      <c r="K7" s="1">
        <v>2</v>
      </c>
      <c r="L7" s="1">
        <v>2</v>
      </c>
      <c r="M7" t="s">
        <v>45</v>
      </c>
      <c r="N7" t="s">
        <v>46</v>
      </c>
      <c r="O7" t="s">
        <v>47</v>
      </c>
      <c r="P7">
        <v>16.7</v>
      </c>
    </row>
    <row r="8" spans="1:21" x14ac:dyDescent="0.25">
      <c r="A8" t="s">
        <v>18</v>
      </c>
      <c r="B8" s="9" t="s">
        <v>49</v>
      </c>
      <c r="C8" t="s">
        <v>20</v>
      </c>
      <c r="D8" s="5" t="s">
        <v>21</v>
      </c>
      <c r="E8" s="1" t="s">
        <v>49</v>
      </c>
      <c r="F8" s="5">
        <v>-1</v>
      </c>
      <c r="G8" s="6">
        <v>1</v>
      </c>
      <c r="H8" s="1" t="s">
        <v>231</v>
      </c>
      <c r="I8" s="5" t="s">
        <v>21</v>
      </c>
      <c r="J8" s="6" t="s">
        <v>51</v>
      </c>
      <c r="K8" s="5">
        <v>-1</v>
      </c>
      <c r="L8" s="6">
        <v>1</v>
      </c>
      <c r="M8" t="s">
        <v>17</v>
      </c>
      <c r="N8" t="s">
        <v>17</v>
      </c>
      <c r="O8" t="s">
        <v>416</v>
      </c>
      <c r="P8">
        <v>24.9</v>
      </c>
      <c r="Q8" t="s">
        <v>419</v>
      </c>
    </row>
    <row r="9" spans="1:21" x14ac:dyDescent="0.25">
      <c r="A9" t="s">
        <v>18</v>
      </c>
      <c r="B9" s="1" t="s">
        <v>52</v>
      </c>
      <c r="C9" t="s">
        <v>20</v>
      </c>
      <c r="D9" s="1" t="s">
        <v>52</v>
      </c>
      <c r="E9" s="1" t="s">
        <v>52</v>
      </c>
      <c r="F9" s="1">
        <v>2</v>
      </c>
      <c r="G9" s="1">
        <v>2</v>
      </c>
      <c r="H9" s="1" t="s">
        <v>53</v>
      </c>
      <c r="I9" s="1" t="s">
        <v>53</v>
      </c>
      <c r="J9" s="1" t="s">
        <v>53</v>
      </c>
      <c r="K9" s="1">
        <v>2</v>
      </c>
      <c r="L9" s="1">
        <v>2</v>
      </c>
      <c r="M9" t="s">
        <v>54</v>
      </c>
      <c r="N9" t="s">
        <v>55</v>
      </c>
      <c r="O9" t="s">
        <v>56</v>
      </c>
      <c r="P9">
        <v>16.5</v>
      </c>
    </row>
    <row r="10" spans="1:21" x14ac:dyDescent="0.25">
      <c r="A10" t="s">
        <v>18</v>
      </c>
      <c r="B10" s="1" t="s">
        <v>57</v>
      </c>
      <c r="C10" t="s">
        <v>20</v>
      </c>
      <c r="D10" s="1" t="s">
        <v>57</v>
      </c>
      <c r="E10" s="1" t="s">
        <v>57</v>
      </c>
      <c r="F10" s="1">
        <v>2</v>
      </c>
      <c r="G10" s="1">
        <v>2</v>
      </c>
      <c r="H10" s="1" t="s">
        <v>58</v>
      </c>
      <c r="I10" s="5" t="s">
        <v>21</v>
      </c>
      <c r="J10" s="1" t="s">
        <v>58</v>
      </c>
      <c r="K10" s="5">
        <v>-1</v>
      </c>
      <c r="L10" s="1">
        <v>2</v>
      </c>
      <c r="M10" t="s">
        <v>59</v>
      </c>
      <c r="N10" t="s">
        <v>17</v>
      </c>
      <c r="O10" t="s">
        <v>60</v>
      </c>
      <c r="P10">
        <v>1.9</v>
      </c>
      <c r="Q10" t="s">
        <v>418</v>
      </c>
    </row>
    <row r="11" spans="1:21" x14ac:dyDescent="0.25">
      <c r="A11" t="s">
        <v>18</v>
      </c>
      <c r="B11" s="1" t="s">
        <v>61</v>
      </c>
      <c r="C11" t="s">
        <v>20</v>
      </c>
      <c r="D11" s="1" t="s">
        <v>61</v>
      </c>
      <c r="E11" s="1" t="s">
        <v>61</v>
      </c>
      <c r="F11" s="1">
        <v>2</v>
      </c>
      <c r="G11" s="1">
        <v>2</v>
      </c>
      <c r="H11" s="1" t="s">
        <v>62</v>
      </c>
      <c r="I11" s="1" t="s">
        <v>62</v>
      </c>
      <c r="J11" s="1" t="s">
        <v>63</v>
      </c>
      <c r="K11" s="1">
        <v>2</v>
      </c>
      <c r="L11" s="1">
        <v>2</v>
      </c>
      <c r="M11" t="s">
        <v>64</v>
      </c>
      <c r="N11" t="s">
        <v>65</v>
      </c>
      <c r="O11" t="s">
        <v>66</v>
      </c>
      <c r="P11">
        <v>50</v>
      </c>
    </row>
    <row r="14" spans="1:21" ht="15.75" x14ac:dyDescent="0.25">
      <c r="A14" s="3" t="s">
        <v>67</v>
      </c>
      <c r="H14" s="3" t="s">
        <v>68</v>
      </c>
    </row>
    <row r="15" spans="1:21" x14ac:dyDescent="0.25">
      <c r="A15" s="4" t="s">
        <v>69</v>
      </c>
      <c r="F15">
        <f>COUNTIFS(B2:B11,"&lt;&gt;*_*",B2:B11,"&lt;&gt;")</f>
        <v>8</v>
      </c>
      <c r="H15" s="4" t="s">
        <v>69</v>
      </c>
      <c r="K15">
        <f>COUNTIFS(B2:B11,"&lt;&gt;*_*",B2:B11,"&lt;&gt;",R2:R11,"&lt;&gt;TRUE")</f>
        <v>8</v>
      </c>
    </row>
    <row r="16" spans="1:21" x14ac:dyDescent="0.25">
      <c r="A16" s="4" t="s">
        <v>70</v>
      </c>
      <c r="F16">
        <f>COUNTIFS(F2:F11,"&gt;0")</f>
        <v>7</v>
      </c>
      <c r="H16" s="4" t="s">
        <v>70</v>
      </c>
      <c r="K16">
        <f>COUNTIFS(F2:F11,"&gt;0",R2:R11,"&lt;&gt;TRUE")</f>
        <v>7</v>
      </c>
    </row>
    <row r="17" spans="1:11" x14ac:dyDescent="0.25">
      <c r="A17" s="4" t="s">
        <v>71</v>
      </c>
      <c r="F17">
        <f>COUNTIFS(G2:G11,"&gt;0")</f>
        <v>7</v>
      </c>
      <c r="H17" s="4" t="s">
        <v>71</v>
      </c>
      <c r="K17">
        <f>COUNTIFS(G2:G11,"&gt;0",S2:S11,"&lt;&gt;TRUE")</f>
        <v>7</v>
      </c>
    </row>
    <row r="18" spans="1:11" x14ac:dyDescent="0.25">
      <c r="A18" s="4" t="s">
        <v>72</v>
      </c>
      <c r="F18">
        <f>COUNTIFS(F2:F11,"&lt;&gt;-1",F2:F11,"&lt;&gt;0",F2:F11,"&lt;2")</f>
        <v>0</v>
      </c>
      <c r="H18" s="4" t="s">
        <v>72</v>
      </c>
      <c r="K18">
        <f>COUNTIFS(F2:F11,"&lt;&gt;-1",F2:F11,"&lt;&gt;0",F2:F11,"&lt;2",R2:R11,"&lt;&gt;TRUE")</f>
        <v>0</v>
      </c>
    </row>
    <row r="19" spans="1:11" x14ac:dyDescent="0.25">
      <c r="A19" s="4" t="s">
        <v>73</v>
      </c>
      <c r="F19">
        <f>COUNTIFS(G2:G11,"&lt;&gt;-1",G2:G11,"&lt;&gt;0",G2:G11,"&lt;2")</f>
        <v>3</v>
      </c>
      <c r="H19" s="4" t="s">
        <v>73</v>
      </c>
      <c r="K19">
        <f>COUNTIFS(G2:G11,"&lt;&gt;-1",G2:G11,"&lt;&gt;0",G2:G11,"&lt;2",S2:S11,"&lt;&gt;TRUE")</f>
        <v>3</v>
      </c>
    </row>
    <row r="20" spans="1:11" x14ac:dyDescent="0.25">
      <c r="A20" s="4" t="s">
        <v>74</v>
      </c>
      <c r="F20">
        <f>COUNTIFS(F2:F11,"=-1")+COUNTIFS(F2:F11,"=-3")</f>
        <v>1</v>
      </c>
      <c r="H20" s="4" t="s">
        <v>74</v>
      </c>
      <c r="K20">
        <f>COUNTIFS(F2:F11,"=-1",R2:R11,"&lt;&gt;TRUE")+COUNTIFS(F2:F11,"=-3",R2:R11,"&lt;&gt;TRUE")</f>
        <v>1</v>
      </c>
    </row>
    <row r="21" spans="1:11" x14ac:dyDescent="0.25">
      <c r="A21" s="4" t="s">
        <v>75</v>
      </c>
      <c r="F21">
        <f>COUNTIFS(G2:G11,"=-1")+COUNTIFS(G2:G11,"=-3")</f>
        <v>1</v>
      </c>
      <c r="H21" s="4" t="s">
        <v>75</v>
      </c>
      <c r="K21">
        <f>COUNTIFS(G2:G11,"=-1",S2:S11,"&lt;&gt;TRUE")+COUNTIFS(G2:G11,"=-3",S2:S11,"&lt;&gt;TRUE")</f>
        <v>1</v>
      </c>
    </row>
    <row r="22" spans="1:11" x14ac:dyDescent="0.25">
      <c r="A22" s="4" t="s">
        <v>76</v>
      </c>
      <c r="F22" s="8">
        <f>F16/F15</f>
        <v>0.875</v>
      </c>
      <c r="H22" s="4" t="s">
        <v>76</v>
      </c>
      <c r="K22" s="8">
        <f>K16/K15</f>
        <v>0.875</v>
      </c>
    </row>
    <row r="23" spans="1:11" x14ac:dyDescent="0.25">
      <c r="A23" s="4" t="s">
        <v>77</v>
      </c>
      <c r="F23" s="8">
        <f>F17/F15</f>
        <v>0.875</v>
      </c>
      <c r="H23" s="4" t="s">
        <v>78</v>
      </c>
      <c r="K23" s="8">
        <f>K17/K15</f>
        <v>0.875</v>
      </c>
    </row>
    <row r="24" spans="1:11" x14ac:dyDescent="0.25">
      <c r="A24" s="4" t="s">
        <v>79</v>
      </c>
      <c r="F24" s="8">
        <f>F16/(F16+F18)</f>
        <v>1</v>
      </c>
      <c r="H24" s="4" t="s">
        <v>79</v>
      </c>
      <c r="K24" s="8">
        <f>K16/(K16+K18)</f>
        <v>1</v>
      </c>
    </row>
    <row r="25" spans="1:11" x14ac:dyDescent="0.25">
      <c r="A25" s="4" t="s">
        <v>80</v>
      </c>
      <c r="F25" s="8">
        <f>F17/(F17+F19)</f>
        <v>0.7</v>
      </c>
      <c r="H25" s="4" t="s">
        <v>80</v>
      </c>
      <c r="K25" s="8">
        <f>K17/(K17+K19)</f>
        <v>0.7</v>
      </c>
    </row>
    <row r="28" spans="1:11" ht="15.75" x14ac:dyDescent="0.25">
      <c r="A28" s="3" t="s">
        <v>81</v>
      </c>
      <c r="H28" s="3" t="s">
        <v>82</v>
      </c>
    </row>
    <row r="29" spans="1:11" x14ac:dyDescent="0.25">
      <c r="A29" s="4" t="s">
        <v>69</v>
      </c>
      <c r="F29">
        <f>COUNTIFS(H2:H11,"&lt;&gt;*_FP",H2:H11,"&lt;&gt;",H2:H11,"&lt;&gt;no structure")</f>
        <v>7</v>
      </c>
      <c r="H29" s="4" t="s">
        <v>69</v>
      </c>
      <c r="K29">
        <f>COUNTIFS(H2:H11,"&lt;&gt;*_FP",H2:H11,"&lt;&gt;",H2:H11,"&lt;&gt;no structure",T2:T11,"&lt;&gt;TRUE")</f>
        <v>7</v>
      </c>
    </row>
    <row r="30" spans="1:11" x14ac:dyDescent="0.25">
      <c r="A30" s="4" t="s">
        <v>70</v>
      </c>
      <c r="F30">
        <f>COUNTIFS(K2:K11,"&gt;0")</f>
        <v>4</v>
      </c>
      <c r="H30" s="4" t="s">
        <v>70</v>
      </c>
      <c r="K30">
        <f>COUNTIFS(K2:K11,"&gt;0",T2:T11,"&lt;&gt;TRUE")</f>
        <v>4</v>
      </c>
    </row>
    <row r="31" spans="1:11" x14ac:dyDescent="0.25">
      <c r="A31" s="4" t="s">
        <v>71</v>
      </c>
      <c r="F31">
        <f>COUNTIFS(L2:L11,"&gt;0")</f>
        <v>7</v>
      </c>
      <c r="H31" s="4" t="s">
        <v>71</v>
      </c>
      <c r="K31">
        <f>COUNTIFS(L2:L11,"&gt;0",U2:U11,"&lt;&gt;TRUE")</f>
        <v>7</v>
      </c>
    </row>
    <row r="32" spans="1:11" x14ac:dyDescent="0.25">
      <c r="A32" s="4" t="s">
        <v>72</v>
      </c>
      <c r="F32">
        <f>COUNTIFS(K2:K11,"&lt;&gt;-1",K2:K11,"&lt;&gt;0",K2:K11,"&lt;2")</f>
        <v>0</v>
      </c>
      <c r="H32" s="4" t="s">
        <v>72</v>
      </c>
      <c r="K32">
        <f>COUNTIFS(K2:K11,"&lt;&gt;-1",K2:K11,"&lt;&gt;0",K2:K11,"&lt;2",T2:T11,"&lt;&gt;TRUE")</f>
        <v>0</v>
      </c>
    </row>
    <row r="33" spans="1:11" x14ac:dyDescent="0.25">
      <c r="A33" s="4" t="s">
        <v>73</v>
      </c>
      <c r="F33">
        <f>COUNTIFS(L2:L11,"&lt;&gt;-1",L2:L11,"&lt;&gt;0",L2:L11,"&lt;2")</f>
        <v>3</v>
      </c>
      <c r="H33" s="4" t="s">
        <v>73</v>
      </c>
      <c r="K33">
        <f>COUNTIFS(L2:L11,"&lt;&gt;-1",L2:L11,"&lt;&gt;0",L2:L11,"&lt;2",U2:U11,"&lt;&gt;TRUE")</f>
        <v>3</v>
      </c>
    </row>
    <row r="34" spans="1:11" x14ac:dyDescent="0.25">
      <c r="A34" s="4" t="s">
        <v>74</v>
      </c>
      <c r="F34">
        <f>COUNTIFS(K2:K11,"=-1")+COUNTIFS(K2:K11,"=-3")</f>
        <v>3</v>
      </c>
      <c r="H34" s="4" t="s">
        <v>74</v>
      </c>
      <c r="K34">
        <f>COUNTIFS(K2:K11,"=-1",T2:T11,"&lt;&gt;TRUE")+COUNTIFS(K2:K11,"=-3",T2:T11,"&lt;&gt;TRUE")</f>
        <v>3</v>
      </c>
    </row>
    <row r="35" spans="1:11" x14ac:dyDescent="0.25">
      <c r="A35" s="4" t="s">
        <v>75</v>
      </c>
      <c r="F35">
        <f>COUNTIFS(L2:L11,"=-1")+COUNTIFS(L2:L11,"=-3")</f>
        <v>0</v>
      </c>
      <c r="H35" s="4" t="s">
        <v>75</v>
      </c>
      <c r="K35">
        <f>COUNTIFS(L2:L11,"=-1",U2:U11,"&lt;&gt;TRUE")+COUNTIFS(L2:L11,"=-3",U2:U11,"&lt;&gt;TRUE")</f>
        <v>0</v>
      </c>
    </row>
    <row r="36" spans="1:11" x14ac:dyDescent="0.25">
      <c r="A36" s="4" t="s">
        <v>76</v>
      </c>
      <c r="F36" s="8">
        <f>F30/F29</f>
        <v>0.5714285714285714</v>
      </c>
      <c r="H36" s="4" t="s">
        <v>76</v>
      </c>
      <c r="K36" s="8">
        <f>K30/K29</f>
        <v>0.5714285714285714</v>
      </c>
    </row>
    <row r="37" spans="1:11" x14ac:dyDescent="0.25">
      <c r="A37" s="4" t="s">
        <v>77</v>
      </c>
      <c r="F37" s="8">
        <f>F31/F29</f>
        <v>1</v>
      </c>
      <c r="H37" s="4" t="s">
        <v>78</v>
      </c>
      <c r="K37" s="8">
        <f>K31/K29</f>
        <v>1</v>
      </c>
    </row>
    <row r="38" spans="1:11" x14ac:dyDescent="0.25">
      <c r="A38" s="4" t="s">
        <v>79</v>
      </c>
      <c r="F38" s="8">
        <f>F30/(F30+F32)</f>
        <v>1</v>
      </c>
      <c r="H38" s="4" t="s">
        <v>79</v>
      </c>
      <c r="K38" s="8">
        <f>K30/(K30+K32)</f>
        <v>1</v>
      </c>
    </row>
    <row r="39" spans="1:11" x14ac:dyDescent="0.25">
      <c r="A39" s="4" t="s">
        <v>80</v>
      </c>
      <c r="F39" s="8">
        <f>F31/(F31+F33)</f>
        <v>0.7</v>
      </c>
      <c r="H39" s="4" t="s">
        <v>80</v>
      </c>
      <c r="K39" s="8">
        <f>K31/(K31+K33)</f>
        <v>0.7</v>
      </c>
    </row>
    <row r="42" spans="1:11" ht="15.75" x14ac:dyDescent="0.25">
      <c r="A42" s="3" t="s">
        <v>83</v>
      </c>
    </row>
    <row r="43" spans="1:11" x14ac:dyDescent="0.25">
      <c r="A43" s="1" t="s">
        <v>84</v>
      </c>
    </row>
    <row r="44" spans="1:11" x14ac:dyDescent="0.25">
      <c r="A44" s="5" t="s">
        <v>85</v>
      </c>
    </row>
    <row r="46" spans="1:11" x14ac:dyDescent="0.25">
      <c r="A46" s="1" t="s">
        <v>86</v>
      </c>
    </row>
    <row r="47" spans="1:11" x14ac:dyDescent="0.25">
      <c r="A47" s="6" t="s">
        <v>87</v>
      </c>
    </row>
    <row r="48" spans="1:11" x14ac:dyDescent="0.25">
      <c r="A48" s="7" t="s">
        <v>88</v>
      </c>
    </row>
    <row r="49" spans="1:1" x14ac:dyDescent="0.25">
      <c r="A49" s="5" t="s">
        <v>89</v>
      </c>
    </row>
    <row r="51" spans="1:1" x14ac:dyDescent="0.25">
      <c r="A51" s="4" t="s">
        <v>90</v>
      </c>
    </row>
    <row r="52" spans="1:1" x14ac:dyDescent="0.25">
      <c r="A52" t="s">
        <v>91</v>
      </c>
    </row>
    <row r="53" spans="1:1" x14ac:dyDescent="0.25">
      <c r="A53" t="s">
        <v>92</v>
      </c>
    </row>
    <row r="54" spans="1:1" x14ac:dyDescent="0.25">
      <c r="A54" t="s">
        <v>93</v>
      </c>
    </row>
    <row r="55" spans="1:1" x14ac:dyDescent="0.25">
      <c r="A55" t="s">
        <v>94</v>
      </c>
    </row>
    <row r="56" spans="1:1" x14ac:dyDescent="0.25">
      <c r="A56" t="s">
        <v>95</v>
      </c>
    </row>
    <row r="57" spans="1:1" x14ac:dyDescent="0.25">
      <c r="A57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97</v>
      </c>
      <c r="B2" s="1" t="s">
        <v>38</v>
      </c>
      <c r="C2" t="s">
        <v>20</v>
      </c>
      <c r="D2" s="1" t="s">
        <v>38</v>
      </c>
      <c r="E2" s="1" t="s">
        <v>38</v>
      </c>
      <c r="F2" s="1">
        <v>2</v>
      </c>
      <c r="G2" s="1">
        <v>2</v>
      </c>
      <c r="H2" s="1" t="s">
        <v>98</v>
      </c>
      <c r="I2" s="1" t="s">
        <v>98</v>
      </c>
      <c r="J2" s="1" t="s">
        <v>98</v>
      </c>
      <c r="K2" s="1">
        <v>2</v>
      </c>
      <c r="L2" s="1">
        <v>2</v>
      </c>
      <c r="M2" t="s">
        <v>99</v>
      </c>
      <c r="N2" t="s">
        <v>100</v>
      </c>
      <c r="O2" t="s">
        <v>101</v>
      </c>
      <c r="P2">
        <v>31.7</v>
      </c>
    </row>
    <row r="3" spans="1:21" x14ac:dyDescent="0.25">
      <c r="A3" t="s">
        <v>97</v>
      </c>
      <c r="B3" s="1" t="s">
        <v>52</v>
      </c>
      <c r="C3" t="s">
        <v>20</v>
      </c>
      <c r="D3" s="1" t="s">
        <v>52</v>
      </c>
      <c r="E3" s="1" t="s">
        <v>52</v>
      </c>
      <c r="F3" s="1">
        <v>2</v>
      </c>
      <c r="G3" s="1">
        <v>2</v>
      </c>
      <c r="H3" s="1" t="s">
        <v>102</v>
      </c>
      <c r="I3" s="1" t="s">
        <v>102</v>
      </c>
      <c r="J3" s="1" t="s">
        <v>102</v>
      </c>
      <c r="K3" s="1">
        <v>2</v>
      </c>
      <c r="L3" s="1">
        <v>2</v>
      </c>
      <c r="M3" t="s">
        <v>103</v>
      </c>
      <c r="N3" t="s">
        <v>104</v>
      </c>
      <c r="O3" t="s">
        <v>105</v>
      </c>
      <c r="P3">
        <v>31.5</v>
      </c>
    </row>
    <row r="4" spans="1:21" x14ac:dyDescent="0.25">
      <c r="A4" t="s">
        <v>97</v>
      </c>
      <c r="B4" s="5" t="s">
        <v>106</v>
      </c>
      <c r="C4" t="s">
        <v>20</v>
      </c>
      <c r="D4" s="5" t="s">
        <v>107</v>
      </c>
      <c r="E4" t="s">
        <v>21</v>
      </c>
      <c r="F4" s="5">
        <v>-2</v>
      </c>
      <c r="G4">
        <v>0</v>
      </c>
      <c r="M4" t="s">
        <v>17</v>
      </c>
      <c r="N4" t="s">
        <v>17</v>
      </c>
      <c r="O4" t="s">
        <v>17</v>
      </c>
      <c r="Q4" t="s">
        <v>420</v>
      </c>
    </row>
    <row r="5" spans="1:21" x14ac:dyDescent="0.25">
      <c r="A5" t="s">
        <v>97</v>
      </c>
      <c r="B5" s="5" t="s">
        <v>108</v>
      </c>
      <c r="C5" t="s">
        <v>20</v>
      </c>
      <c r="D5" t="s">
        <v>21</v>
      </c>
      <c r="E5" s="5" t="s">
        <v>109</v>
      </c>
      <c r="F5">
        <v>0</v>
      </c>
      <c r="G5" s="5">
        <v>-2</v>
      </c>
      <c r="H5" s="5" t="s">
        <v>110</v>
      </c>
      <c r="I5" t="s">
        <v>21</v>
      </c>
      <c r="J5" s="5" t="s">
        <v>111</v>
      </c>
      <c r="K5">
        <v>0</v>
      </c>
      <c r="L5" s="5">
        <v>-2</v>
      </c>
      <c r="M5" t="s">
        <v>17</v>
      </c>
      <c r="N5" t="s">
        <v>17</v>
      </c>
      <c r="O5" t="s">
        <v>112</v>
      </c>
      <c r="P5">
        <v>88.5</v>
      </c>
      <c r="Q5" t="s">
        <v>421</v>
      </c>
    </row>
    <row r="8" spans="1:21" ht="15.75" x14ac:dyDescent="0.25">
      <c r="A8" s="3" t="s">
        <v>67</v>
      </c>
      <c r="H8" s="3" t="s">
        <v>68</v>
      </c>
    </row>
    <row r="9" spans="1:21" x14ac:dyDescent="0.25">
      <c r="A9" s="4" t="s">
        <v>69</v>
      </c>
      <c r="F9">
        <f>COUNTIFS(B2:B5,"&lt;&gt;*_*",B2:B5,"&lt;&gt;")</f>
        <v>2</v>
      </c>
      <c r="H9" s="4" t="s">
        <v>69</v>
      </c>
      <c r="K9">
        <f>COUNTIFS(B2:B5,"&lt;&gt;*_*",B2:B5,"&lt;&gt;",R2:R5,"&lt;&gt;TRUE")</f>
        <v>2</v>
      </c>
    </row>
    <row r="10" spans="1:21" x14ac:dyDescent="0.25">
      <c r="A10" s="4" t="s">
        <v>70</v>
      </c>
      <c r="F10">
        <f>COUNTIFS(F2:F5,"&gt;0")</f>
        <v>2</v>
      </c>
      <c r="H10" s="4" t="s">
        <v>70</v>
      </c>
      <c r="K10">
        <f>COUNTIFS(F2:F5,"&gt;0",R2:R5,"&lt;&gt;TRUE")</f>
        <v>2</v>
      </c>
    </row>
    <row r="11" spans="1:21" x14ac:dyDescent="0.25">
      <c r="A11" s="4" t="s">
        <v>71</v>
      </c>
      <c r="F11">
        <f>COUNTIFS(G2:G5,"&gt;0")</f>
        <v>2</v>
      </c>
      <c r="H11" s="4" t="s">
        <v>71</v>
      </c>
      <c r="K11">
        <f>COUNTIFS(G2:G5,"&gt;0",S2:S5,"&lt;&gt;TRUE")</f>
        <v>2</v>
      </c>
    </row>
    <row r="12" spans="1:21" x14ac:dyDescent="0.25">
      <c r="A12" s="4" t="s">
        <v>72</v>
      </c>
      <c r="F12">
        <f>COUNTIFS(F2:F5,"&lt;&gt;-1",F2:F5,"&lt;&gt;0",F2:F5,"&lt;2")</f>
        <v>1</v>
      </c>
      <c r="H12" s="4" t="s">
        <v>72</v>
      </c>
      <c r="K12">
        <f>COUNTIFS(F2:F5,"&lt;&gt;-1",F2:F5,"&lt;&gt;0",F2:F5,"&lt;2",R2:R5,"&lt;&gt;TRUE")</f>
        <v>1</v>
      </c>
    </row>
    <row r="13" spans="1:21" x14ac:dyDescent="0.25">
      <c r="A13" s="4" t="s">
        <v>73</v>
      </c>
      <c r="F13">
        <f>COUNTIFS(G2:G5,"&lt;&gt;-1",G2:G5,"&lt;&gt;0",G2:G5,"&lt;2")</f>
        <v>1</v>
      </c>
      <c r="H13" s="4" t="s">
        <v>73</v>
      </c>
      <c r="K13">
        <f>COUNTIFS(G2:G5,"&lt;&gt;-1",G2:G5,"&lt;&gt;0",G2:G5,"&lt;2",S2:S5,"&lt;&gt;TRUE")</f>
        <v>1</v>
      </c>
    </row>
    <row r="14" spans="1:21" x14ac:dyDescent="0.25">
      <c r="A14" s="4" t="s">
        <v>74</v>
      </c>
      <c r="F14">
        <f>COUNTIFS(F2:F5,"=-1")+COUNTIFS(F2:F5,"=-3")</f>
        <v>0</v>
      </c>
      <c r="H14" s="4" t="s">
        <v>74</v>
      </c>
      <c r="K14">
        <f>COUNTIFS(F2:F5,"=-1",R2:R5,"&lt;&gt;TRUE")+COUNTIFS(F2:F5,"=-3",R2:R5,"&lt;&gt;TRUE")</f>
        <v>0</v>
      </c>
    </row>
    <row r="15" spans="1:21" x14ac:dyDescent="0.25">
      <c r="A15" s="4" t="s">
        <v>75</v>
      </c>
      <c r="F15">
        <f>COUNTIFS(G2:G5,"=-1")+COUNTIFS(G2:G5,"=-3")</f>
        <v>0</v>
      </c>
      <c r="H15" s="4" t="s">
        <v>75</v>
      </c>
      <c r="K15">
        <f>COUNTIFS(G2:G5,"=-1",S2:S5,"&lt;&gt;TRUE")+COUNTIFS(G2:G5,"=-3",S2:S5,"&lt;&gt;TRUE")</f>
        <v>0</v>
      </c>
    </row>
    <row r="16" spans="1:21" x14ac:dyDescent="0.25">
      <c r="A16" s="4" t="s">
        <v>76</v>
      </c>
      <c r="F16" s="8">
        <f>F10/F9</f>
        <v>1</v>
      </c>
      <c r="H16" s="4" t="s">
        <v>76</v>
      </c>
      <c r="K16" s="8">
        <f>K10/K9</f>
        <v>1</v>
      </c>
    </row>
    <row r="17" spans="1:11" x14ac:dyDescent="0.25">
      <c r="A17" s="4" t="s">
        <v>77</v>
      </c>
      <c r="F17" s="8">
        <f>F11/F9</f>
        <v>1</v>
      </c>
      <c r="H17" s="4" t="s">
        <v>78</v>
      </c>
      <c r="K17" s="8">
        <f>K11/K9</f>
        <v>1</v>
      </c>
    </row>
    <row r="18" spans="1:11" x14ac:dyDescent="0.25">
      <c r="A18" s="4" t="s">
        <v>79</v>
      </c>
      <c r="F18" s="8">
        <f>F10/(F10+F12)</f>
        <v>0.66666666666666663</v>
      </c>
      <c r="H18" s="4" t="s">
        <v>79</v>
      </c>
      <c r="K18" s="8">
        <f>K10/(K10+K12)</f>
        <v>0.66666666666666663</v>
      </c>
    </row>
    <row r="19" spans="1:11" x14ac:dyDescent="0.25">
      <c r="A19" s="4" t="s">
        <v>80</v>
      </c>
      <c r="F19" s="8">
        <f>F11/(F11+F13)</f>
        <v>0.66666666666666663</v>
      </c>
      <c r="H19" s="4" t="s">
        <v>80</v>
      </c>
      <c r="K19" s="8">
        <f>K11/(K11+K13)</f>
        <v>0.66666666666666663</v>
      </c>
    </row>
    <row r="22" spans="1:11" ht="15.75" x14ac:dyDescent="0.25">
      <c r="A22" s="3" t="s">
        <v>81</v>
      </c>
      <c r="H22" s="3" t="s">
        <v>82</v>
      </c>
    </row>
    <row r="23" spans="1:11" x14ac:dyDescent="0.25">
      <c r="A23" s="4" t="s">
        <v>69</v>
      </c>
      <c r="F23">
        <f>COUNTIFS(H2:H5,"&lt;&gt;*_FP",H2:H5,"&lt;&gt;",H2:H5,"&lt;&gt;no structure")</f>
        <v>2</v>
      </c>
      <c r="H23" s="4" t="s">
        <v>69</v>
      </c>
      <c r="K23">
        <f>COUNTIFS(H2:H5,"&lt;&gt;*_FP",H2:H5,"&lt;&gt;",H2:H5,"&lt;&gt;no structure",T2:T5,"&lt;&gt;TRUE")</f>
        <v>2</v>
      </c>
    </row>
    <row r="24" spans="1:11" x14ac:dyDescent="0.25">
      <c r="A24" s="4" t="s">
        <v>70</v>
      </c>
      <c r="F24">
        <f>COUNTIFS(K2:K5,"&gt;0")</f>
        <v>2</v>
      </c>
      <c r="H24" s="4" t="s">
        <v>70</v>
      </c>
      <c r="K24">
        <f>COUNTIFS(K2:K5,"&gt;0",T2:T5,"&lt;&gt;TRUE")</f>
        <v>2</v>
      </c>
    </row>
    <row r="25" spans="1:11" x14ac:dyDescent="0.25">
      <c r="A25" s="4" t="s">
        <v>71</v>
      </c>
      <c r="F25">
        <f>COUNTIFS(L2:L5,"&gt;0")</f>
        <v>2</v>
      </c>
      <c r="H25" s="4" t="s">
        <v>71</v>
      </c>
      <c r="K25">
        <f>COUNTIFS(L2:L5,"&gt;0",U2:U5,"&lt;&gt;TRUE")</f>
        <v>2</v>
      </c>
    </row>
    <row r="26" spans="1:11" x14ac:dyDescent="0.25">
      <c r="A26" s="4" t="s">
        <v>72</v>
      </c>
      <c r="F26">
        <f>COUNTIFS(K2:K5,"&lt;&gt;-1",K2:K5,"&lt;&gt;0",K2:K5,"&lt;2")</f>
        <v>0</v>
      </c>
      <c r="H26" s="4" t="s">
        <v>72</v>
      </c>
      <c r="K26">
        <f>COUNTIFS(K2:K5,"&lt;&gt;-1",K2:K5,"&lt;&gt;0",K2:K5,"&lt;2",T2:T5,"&lt;&gt;TRUE")</f>
        <v>0</v>
      </c>
    </row>
    <row r="27" spans="1:11" x14ac:dyDescent="0.25">
      <c r="A27" s="4" t="s">
        <v>73</v>
      </c>
      <c r="F27">
        <f>COUNTIFS(L2:L5,"&lt;&gt;-1",L2:L5,"&lt;&gt;0",L2:L5,"&lt;2")</f>
        <v>1</v>
      </c>
      <c r="H27" s="4" t="s">
        <v>73</v>
      </c>
      <c r="K27">
        <f>COUNTIFS(L2:L5,"&lt;&gt;-1",L2:L5,"&lt;&gt;0",L2:L5,"&lt;2",U2:U5,"&lt;&gt;TRUE")</f>
        <v>1</v>
      </c>
    </row>
    <row r="28" spans="1:11" x14ac:dyDescent="0.25">
      <c r="A28" s="4" t="s">
        <v>74</v>
      </c>
      <c r="F28">
        <f>COUNTIFS(K2:K5,"=-1")+COUNTIFS(K2:K5,"=-3")</f>
        <v>0</v>
      </c>
      <c r="H28" s="4" t="s">
        <v>74</v>
      </c>
      <c r="K28">
        <f>COUNTIFS(K2:K5,"=-1",T2:T5,"&lt;&gt;TRUE")+COUNTIFS(K2:K5,"=-3",T2:T5,"&lt;&gt;TRUE")</f>
        <v>0</v>
      </c>
    </row>
    <row r="29" spans="1:11" x14ac:dyDescent="0.25">
      <c r="A29" s="4" t="s">
        <v>75</v>
      </c>
      <c r="F29">
        <f>COUNTIFS(L2:L5,"=-1")+COUNTIFS(L2:L5,"=-3")</f>
        <v>0</v>
      </c>
      <c r="H29" s="4" t="s">
        <v>75</v>
      </c>
      <c r="K29">
        <f>COUNTIFS(L2:L5,"=-1",U2:U5,"&lt;&gt;TRUE")+COUNTIFS(L2:L5,"=-3",U2:U5,"&lt;&gt;TRUE")</f>
        <v>0</v>
      </c>
    </row>
    <row r="30" spans="1:11" x14ac:dyDescent="0.25">
      <c r="A30" s="4" t="s">
        <v>76</v>
      </c>
      <c r="F30" s="8">
        <f>F24/F23</f>
        <v>1</v>
      </c>
      <c r="H30" s="4" t="s">
        <v>76</v>
      </c>
      <c r="K30" s="8">
        <f>K24/K23</f>
        <v>1</v>
      </c>
    </row>
    <row r="31" spans="1:11" x14ac:dyDescent="0.25">
      <c r="A31" s="4" t="s">
        <v>77</v>
      </c>
      <c r="F31" s="8">
        <f>F25/F23</f>
        <v>1</v>
      </c>
      <c r="H31" s="4" t="s">
        <v>78</v>
      </c>
      <c r="K31" s="8">
        <f>K25/K23</f>
        <v>1</v>
      </c>
    </row>
    <row r="32" spans="1:11" x14ac:dyDescent="0.25">
      <c r="A32" s="4" t="s">
        <v>79</v>
      </c>
      <c r="F32" s="8">
        <f>F24/(F24+F26)</f>
        <v>1</v>
      </c>
      <c r="H32" s="4" t="s">
        <v>79</v>
      </c>
      <c r="K32" s="8">
        <f>K24/(K24+K26)</f>
        <v>1</v>
      </c>
    </row>
    <row r="33" spans="1:11" x14ac:dyDescent="0.25">
      <c r="A33" s="4" t="s">
        <v>80</v>
      </c>
      <c r="F33" s="8">
        <f>F25/(F25+F27)</f>
        <v>0.66666666666666663</v>
      </c>
      <c r="H33" s="4" t="s">
        <v>80</v>
      </c>
      <c r="K33" s="8">
        <f>K25/(K25+K27)</f>
        <v>0.66666666666666663</v>
      </c>
    </row>
    <row r="36" spans="1:11" ht="15.75" x14ac:dyDescent="0.25">
      <c r="A36" s="3" t="s">
        <v>83</v>
      </c>
    </row>
    <row r="37" spans="1:11" x14ac:dyDescent="0.25">
      <c r="A37" s="1" t="s">
        <v>84</v>
      </c>
    </row>
    <row r="38" spans="1:11" x14ac:dyDescent="0.25">
      <c r="A38" s="5" t="s">
        <v>85</v>
      </c>
    </row>
    <row r="40" spans="1:11" x14ac:dyDescent="0.25">
      <c r="A40" s="1" t="s">
        <v>86</v>
      </c>
    </row>
    <row r="41" spans="1:11" x14ac:dyDescent="0.25">
      <c r="A41" s="6" t="s">
        <v>87</v>
      </c>
    </row>
    <row r="42" spans="1:11" x14ac:dyDescent="0.25">
      <c r="A42" s="7" t="s">
        <v>88</v>
      </c>
    </row>
    <row r="43" spans="1:11" x14ac:dyDescent="0.25">
      <c r="A43" s="5" t="s">
        <v>89</v>
      </c>
    </row>
    <row r="45" spans="1:11" x14ac:dyDescent="0.25">
      <c r="A45" s="4" t="s">
        <v>90</v>
      </c>
    </row>
    <row r="46" spans="1:11" x14ac:dyDescent="0.25">
      <c r="A46" t="s">
        <v>91</v>
      </c>
    </row>
    <row r="47" spans="1:11" x14ac:dyDescent="0.25">
      <c r="A47" t="s">
        <v>92</v>
      </c>
    </row>
    <row r="48" spans="1:11" x14ac:dyDescent="0.25">
      <c r="A48" t="s">
        <v>93</v>
      </c>
    </row>
    <row r="49" spans="1:1" x14ac:dyDescent="0.25">
      <c r="A49" t="s">
        <v>94</v>
      </c>
    </row>
    <row r="50" spans="1:1" x14ac:dyDescent="0.25">
      <c r="A50" t="s">
        <v>95</v>
      </c>
    </row>
    <row r="51" spans="1:1" x14ac:dyDescent="0.25">
      <c r="A51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113</v>
      </c>
      <c r="B2" s="1" t="s">
        <v>114</v>
      </c>
      <c r="C2" t="s">
        <v>20</v>
      </c>
      <c r="D2" s="1" t="s">
        <v>114</v>
      </c>
      <c r="E2" s="5" t="s">
        <v>21</v>
      </c>
      <c r="F2" s="1">
        <v>2</v>
      </c>
      <c r="G2" s="5">
        <v>-1</v>
      </c>
      <c r="H2" t="s">
        <v>115</v>
      </c>
      <c r="I2" t="s">
        <v>116</v>
      </c>
      <c r="J2" t="s">
        <v>17</v>
      </c>
    </row>
    <row r="3" spans="1:14" x14ac:dyDescent="0.25">
      <c r="A3" t="s">
        <v>113</v>
      </c>
      <c r="B3" s="1" t="s">
        <v>117</v>
      </c>
      <c r="C3" t="s">
        <v>20</v>
      </c>
      <c r="D3" s="1" t="s">
        <v>117</v>
      </c>
      <c r="E3" s="5" t="s">
        <v>21</v>
      </c>
      <c r="F3" s="1">
        <v>2</v>
      </c>
      <c r="G3" s="5">
        <v>-1</v>
      </c>
      <c r="H3" t="s">
        <v>118</v>
      </c>
      <c r="I3" t="s">
        <v>119</v>
      </c>
      <c r="J3" t="s">
        <v>17</v>
      </c>
    </row>
    <row r="4" spans="1:14" x14ac:dyDescent="0.25">
      <c r="A4" t="s">
        <v>113</v>
      </c>
      <c r="B4" s="1" t="s">
        <v>120</v>
      </c>
      <c r="C4" t="s">
        <v>20</v>
      </c>
      <c r="D4" s="1" t="s">
        <v>120</v>
      </c>
      <c r="E4" s="5" t="s">
        <v>21</v>
      </c>
      <c r="F4" s="1">
        <v>2</v>
      </c>
      <c r="G4" s="5">
        <v>-1</v>
      </c>
      <c r="H4" t="s">
        <v>121</v>
      </c>
      <c r="I4" t="s">
        <v>122</v>
      </c>
      <c r="J4" t="s">
        <v>17</v>
      </c>
    </row>
    <row r="7" spans="1:14" ht="15.75" x14ac:dyDescent="0.25">
      <c r="A7" s="3" t="s">
        <v>67</v>
      </c>
      <c r="H7" s="3" t="s">
        <v>68</v>
      </c>
    </row>
    <row r="8" spans="1:14" x14ac:dyDescent="0.25">
      <c r="A8" s="4" t="s">
        <v>69</v>
      </c>
      <c r="F8">
        <f>COUNTIFS(B2:B4,"&lt;&gt;*_*",B2:B4,"&lt;&gt;")</f>
        <v>3</v>
      </c>
      <c r="H8" s="4" t="s">
        <v>69</v>
      </c>
      <c r="K8">
        <f>COUNTIFS(B2:B4,"&lt;&gt;*_*",B2:B4,"&lt;&gt;",M2:M4,"&lt;&gt;TRUE")</f>
        <v>3</v>
      </c>
    </row>
    <row r="9" spans="1:14" x14ac:dyDescent="0.25">
      <c r="A9" s="4" t="s">
        <v>70</v>
      </c>
      <c r="F9">
        <f>COUNTIFS(F2:F4,"&gt;0")</f>
        <v>3</v>
      </c>
      <c r="H9" s="4" t="s">
        <v>70</v>
      </c>
      <c r="K9">
        <f>COUNTIFS(F2:F4,"&gt;0",M2:M4,"&lt;&gt;TRUE")</f>
        <v>3</v>
      </c>
    </row>
    <row r="10" spans="1:14" x14ac:dyDescent="0.25">
      <c r="A10" s="4" t="s">
        <v>71</v>
      </c>
      <c r="F10">
        <f>COUNTIFS(G2:G4,"&gt;0")</f>
        <v>0</v>
      </c>
      <c r="H10" s="4" t="s">
        <v>71</v>
      </c>
      <c r="K10">
        <f>COUNTIFS(G2:G4,"&gt;0",N2:N4,"&lt;&gt;TRUE")</f>
        <v>0</v>
      </c>
    </row>
    <row r="11" spans="1:14" x14ac:dyDescent="0.25">
      <c r="A11" s="4" t="s">
        <v>72</v>
      </c>
      <c r="F11">
        <f>COUNTIFS(F2:F4,"&lt;&gt;-1",F2:F4,"&lt;&gt;0",F2:F4,"&lt;2")</f>
        <v>0</v>
      </c>
      <c r="H11" s="4" t="s">
        <v>72</v>
      </c>
      <c r="K11">
        <f>COUNTIFS(F2:F4,"&lt;&gt;-1",F2:F4,"&lt;&gt;0",F2:F4,"&lt;2",M2:M4,"&lt;&gt;TRUE")</f>
        <v>0</v>
      </c>
    </row>
    <row r="12" spans="1:14" x14ac:dyDescent="0.25">
      <c r="A12" s="4" t="s">
        <v>73</v>
      </c>
      <c r="F12">
        <f>COUNTIFS(G2:G4,"&lt;&gt;-1",G2:G4,"&lt;&gt;0",G2:G4,"&lt;2")</f>
        <v>0</v>
      </c>
      <c r="H12" s="4" t="s">
        <v>73</v>
      </c>
      <c r="K12">
        <f>COUNTIFS(G2:G4,"&lt;&gt;-1",G2:G4,"&lt;&gt;0",G2:G4,"&lt;2",N2:N4,"&lt;&gt;TRUE")</f>
        <v>0</v>
      </c>
    </row>
    <row r="13" spans="1:14" x14ac:dyDescent="0.25">
      <c r="A13" s="4" t="s">
        <v>74</v>
      </c>
      <c r="F13">
        <f>COUNTIFS(F2:F4,"=-1")+COUNTIFS(F2:F4,"=-3")</f>
        <v>0</v>
      </c>
      <c r="H13" s="4" t="s">
        <v>74</v>
      </c>
      <c r="K13">
        <f>COUNTIFS(F2:F4,"=-1",M2:M4,"&lt;&gt;TRUE")+COUNTIFS(F2:F4,"=-3",M2:M4,"&lt;&gt;TRUE")</f>
        <v>0</v>
      </c>
    </row>
    <row r="14" spans="1:14" x14ac:dyDescent="0.25">
      <c r="A14" s="4" t="s">
        <v>75</v>
      </c>
      <c r="F14">
        <f>COUNTIFS(G2:G4,"=-1")+COUNTIFS(G2:G4,"=-3")</f>
        <v>3</v>
      </c>
      <c r="H14" s="4" t="s">
        <v>75</v>
      </c>
      <c r="K14">
        <f>COUNTIFS(G2:G4,"=-1",N2:N4,"&lt;&gt;TRUE")+COUNTIFS(G2:G4,"=-3",N2:N4,"&lt;&gt;TRUE")</f>
        <v>3</v>
      </c>
    </row>
    <row r="15" spans="1:14" x14ac:dyDescent="0.25">
      <c r="A15" s="4" t="s">
        <v>76</v>
      </c>
      <c r="F15" s="8">
        <f>F9/F8</f>
        <v>1</v>
      </c>
      <c r="H15" s="4" t="s">
        <v>76</v>
      </c>
      <c r="K15" s="8">
        <f>K9/K8</f>
        <v>1</v>
      </c>
    </row>
    <row r="16" spans="1:14" x14ac:dyDescent="0.25">
      <c r="A16" s="4" t="s">
        <v>77</v>
      </c>
      <c r="F16" s="8">
        <f>F10/F8</f>
        <v>0</v>
      </c>
      <c r="H16" s="4" t="s">
        <v>78</v>
      </c>
      <c r="K16" s="8">
        <f>K10/K8</f>
        <v>0</v>
      </c>
    </row>
    <row r="17" spans="1:11" x14ac:dyDescent="0.25">
      <c r="A17" s="4" t="s">
        <v>79</v>
      </c>
      <c r="F17" s="8">
        <f>F9/(F9+F11)</f>
        <v>1</v>
      </c>
      <c r="H17" s="4" t="s">
        <v>79</v>
      </c>
      <c r="K17" s="8">
        <f>K9/(K9+K11)</f>
        <v>1</v>
      </c>
    </row>
    <row r="18" spans="1:11" x14ac:dyDescent="0.25">
      <c r="A18" s="4" t="s">
        <v>80</v>
      </c>
      <c r="F18" s="10" t="s">
        <v>422</v>
      </c>
      <c r="H18" s="4" t="s">
        <v>80</v>
      </c>
      <c r="K18" s="10" t="s">
        <v>422</v>
      </c>
    </row>
    <row r="21" spans="1:11" ht="15.75" x14ac:dyDescent="0.25">
      <c r="A21" s="3" t="s">
        <v>83</v>
      </c>
    </row>
    <row r="22" spans="1:11" x14ac:dyDescent="0.25">
      <c r="A22" s="1" t="s">
        <v>84</v>
      </c>
    </row>
    <row r="23" spans="1:11" x14ac:dyDescent="0.25">
      <c r="A23" s="5" t="s">
        <v>85</v>
      </c>
    </row>
    <row r="25" spans="1:11" x14ac:dyDescent="0.25">
      <c r="A25" s="1" t="s">
        <v>86</v>
      </c>
    </row>
    <row r="26" spans="1:11" x14ac:dyDescent="0.25">
      <c r="A26" s="6" t="s">
        <v>87</v>
      </c>
    </row>
    <row r="27" spans="1:11" x14ac:dyDescent="0.25">
      <c r="A27" s="7" t="s">
        <v>88</v>
      </c>
    </row>
    <row r="28" spans="1:11" x14ac:dyDescent="0.25">
      <c r="A28" s="5" t="s">
        <v>89</v>
      </c>
    </row>
    <row r="30" spans="1:11" x14ac:dyDescent="0.25">
      <c r="A30" s="4" t="s">
        <v>90</v>
      </c>
    </row>
    <row r="31" spans="1:11" x14ac:dyDescent="0.25">
      <c r="A31" t="s">
        <v>91</v>
      </c>
    </row>
    <row r="32" spans="1:11" x14ac:dyDescent="0.25">
      <c r="A32" t="s">
        <v>92</v>
      </c>
    </row>
    <row r="33" spans="1:1" x14ac:dyDescent="0.25">
      <c r="A33" t="s">
        <v>93</v>
      </c>
    </row>
    <row r="34" spans="1:1" x14ac:dyDescent="0.25">
      <c r="A34" t="s">
        <v>94</v>
      </c>
    </row>
    <row r="35" spans="1:1" x14ac:dyDescent="0.25">
      <c r="A35" t="s">
        <v>95</v>
      </c>
    </row>
    <row r="36" spans="1:1" x14ac:dyDescent="0.25">
      <c r="A36" t="s">
        <v>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opLeftCell="A5" workbookViewId="0">
      <selection activeCell="F15" sqref="F15"/>
    </sheetView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123</v>
      </c>
      <c r="B2" s="1" t="s">
        <v>48</v>
      </c>
      <c r="C2" t="s">
        <v>20</v>
      </c>
      <c r="D2" t="s">
        <v>21</v>
      </c>
      <c r="E2" s="5" t="s">
        <v>49</v>
      </c>
      <c r="F2">
        <v>0</v>
      </c>
      <c r="G2" s="5">
        <v>-2</v>
      </c>
      <c r="H2" s="5" t="s">
        <v>50</v>
      </c>
      <c r="I2" t="s">
        <v>21</v>
      </c>
      <c r="J2" s="5" t="s">
        <v>51</v>
      </c>
      <c r="K2">
        <v>0</v>
      </c>
      <c r="L2" s="5">
        <v>-2</v>
      </c>
      <c r="M2" t="s">
        <v>17</v>
      </c>
      <c r="N2" t="s">
        <v>17</v>
      </c>
      <c r="O2" s="11">
        <v>24.251930000000002</v>
      </c>
      <c r="P2">
        <v>25</v>
      </c>
      <c r="Q2" t="s">
        <v>423</v>
      </c>
    </row>
    <row r="3" spans="1:21" x14ac:dyDescent="0.25">
      <c r="A3" t="s">
        <v>123</v>
      </c>
      <c r="B3" s="1" t="s">
        <v>52</v>
      </c>
      <c r="C3" t="s">
        <v>20</v>
      </c>
      <c r="D3" s="1" t="s">
        <v>52</v>
      </c>
      <c r="E3" s="1" t="s">
        <v>52</v>
      </c>
      <c r="F3" s="1">
        <v>2</v>
      </c>
      <c r="G3" s="1">
        <v>2</v>
      </c>
      <c r="H3" s="1" t="s">
        <v>53</v>
      </c>
      <c r="I3" s="1" t="s">
        <v>53</v>
      </c>
      <c r="J3" s="1" t="s">
        <v>53</v>
      </c>
      <c r="K3" s="1">
        <v>2</v>
      </c>
      <c r="L3" s="1">
        <v>2</v>
      </c>
      <c r="M3" t="s">
        <v>124</v>
      </c>
      <c r="N3" t="s">
        <v>125</v>
      </c>
      <c r="O3" t="s">
        <v>126</v>
      </c>
      <c r="P3">
        <v>16.5</v>
      </c>
    </row>
    <row r="4" spans="1:21" x14ac:dyDescent="0.25">
      <c r="A4" t="s">
        <v>123</v>
      </c>
      <c r="B4" s="1" t="s">
        <v>127</v>
      </c>
      <c r="C4" t="s">
        <v>20</v>
      </c>
      <c r="D4" s="5" t="s">
        <v>21</v>
      </c>
      <c r="E4" s="1" t="s">
        <v>127</v>
      </c>
      <c r="F4" s="5">
        <v>-1</v>
      </c>
      <c r="G4" s="1">
        <v>2</v>
      </c>
      <c r="H4" s="1" t="s">
        <v>128</v>
      </c>
      <c r="I4" s="5" t="s">
        <v>21</v>
      </c>
      <c r="J4" s="1" t="s">
        <v>129</v>
      </c>
      <c r="K4" s="5">
        <v>-1</v>
      </c>
      <c r="L4" s="1">
        <v>2</v>
      </c>
      <c r="M4" t="s">
        <v>59</v>
      </c>
      <c r="N4" t="s">
        <v>17</v>
      </c>
      <c r="O4">
        <v>22.011880000000001</v>
      </c>
      <c r="P4">
        <v>50</v>
      </c>
      <c r="Q4" t="s">
        <v>424</v>
      </c>
    </row>
    <row r="5" spans="1:21" x14ac:dyDescent="0.25">
      <c r="A5" t="s">
        <v>123</v>
      </c>
      <c r="B5" s="1" t="s">
        <v>61</v>
      </c>
      <c r="C5" t="s">
        <v>20</v>
      </c>
      <c r="D5" s="1" t="s">
        <v>61</v>
      </c>
      <c r="E5" s="1" t="s">
        <v>61</v>
      </c>
      <c r="F5" s="1">
        <v>2</v>
      </c>
      <c r="G5" s="1">
        <v>2</v>
      </c>
      <c r="H5" s="1" t="s">
        <v>62</v>
      </c>
      <c r="I5" s="1" t="s">
        <v>62</v>
      </c>
      <c r="J5" s="1" t="s">
        <v>63</v>
      </c>
      <c r="K5" s="1">
        <v>2</v>
      </c>
      <c r="L5" s="1">
        <v>2</v>
      </c>
      <c r="M5" t="s">
        <v>130</v>
      </c>
      <c r="N5" t="s">
        <v>131</v>
      </c>
      <c r="O5">
        <v>24.003050000000002</v>
      </c>
      <c r="P5">
        <v>50</v>
      </c>
    </row>
    <row r="8" spans="1:21" ht="15.75" x14ac:dyDescent="0.25">
      <c r="A8" s="3" t="s">
        <v>67</v>
      </c>
      <c r="H8" s="3" t="s">
        <v>68</v>
      </c>
    </row>
    <row r="9" spans="1:21" x14ac:dyDescent="0.25">
      <c r="A9" s="4" t="s">
        <v>69</v>
      </c>
      <c r="F9">
        <f>COUNTIFS(B2:B5,"&lt;&gt;*_*",B2:B5,"&lt;&gt;")</f>
        <v>3</v>
      </c>
      <c r="H9" s="4" t="s">
        <v>69</v>
      </c>
      <c r="K9">
        <f>COUNTIFS(B2:B5,"&lt;&gt;*_*",B2:B5,"&lt;&gt;",R2:R5,"&lt;&gt;TRUE")</f>
        <v>3</v>
      </c>
    </row>
    <row r="10" spans="1:21" x14ac:dyDescent="0.25">
      <c r="A10" s="4" t="s">
        <v>70</v>
      </c>
      <c r="F10">
        <f>COUNTIFS(F2:F5,"&gt;0")</f>
        <v>2</v>
      </c>
      <c r="H10" s="4" t="s">
        <v>70</v>
      </c>
      <c r="K10">
        <f>COUNTIFS(F2:F5,"&gt;0",R2:R5,"&lt;&gt;TRUE")</f>
        <v>2</v>
      </c>
    </row>
    <row r="11" spans="1:21" x14ac:dyDescent="0.25">
      <c r="A11" s="4" t="s">
        <v>71</v>
      </c>
      <c r="F11">
        <f>COUNTIFS(G2:G5,"&gt;0")</f>
        <v>3</v>
      </c>
      <c r="H11" s="4" t="s">
        <v>71</v>
      </c>
      <c r="K11">
        <f>COUNTIFS(G2:G5,"&gt;0",S2:S5,"&lt;&gt;TRUE")</f>
        <v>3</v>
      </c>
    </row>
    <row r="12" spans="1:21" x14ac:dyDescent="0.25">
      <c r="A12" s="4" t="s">
        <v>72</v>
      </c>
      <c r="F12">
        <f>COUNTIFS(F2:F5,"&lt;&gt;-1",F2:F5,"&lt;&gt;0",F2:F5,"&lt;2")</f>
        <v>0</v>
      </c>
      <c r="H12" s="4" t="s">
        <v>72</v>
      </c>
      <c r="K12">
        <f>COUNTIFS(F2:F5,"&lt;&gt;-1",F2:F5,"&lt;&gt;0",F2:F5,"&lt;2",R2:R5,"&lt;&gt;TRUE")</f>
        <v>0</v>
      </c>
    </row>
    <row r="13" spans="1:21" x14ac:dyDescent="0.25">
      <c r="A13" s="4" t="s">
        <v>73</v>
      </c>
      <c r="F13">
        <f>COUNTIFS(G2:G5,"&lt;&gt;-1",G2:G5,"&lt;&gt;0",G2:G5,"&lt;2")</f>
        <v>1</v>
      </c>
      <c r="H13" s="4" t="s">
        <v>73</v>
      </c>
      <c r="K13">
        <f>COUNTIFS(G2:G5,"&lt;&gt;-1",G2:G5,"&lt;&gt;0",G2:G5,"&lt;2",S2:S5,"&lt;&gt;TRUE")</f>
        <v>1</v>
      </c>
    </row>
    <row r="14" spans="1:21" x14ac:dyDescent="0.25">
      <c r="A14" s="4" t="s">
        <v>74</v>
      </c>
      <c r="F14">
        <f>COUNTIFS(F2:F5,"=-1")+COUNTIFS(F2:F5,"=-3")</f>
        <v>1</v>
      </c>
      <c r="H14" s="4" t="s">
        <v>74</v>
      </c>
      <c r="K14">
        <f>COUNTIFS(F2:F5,"=-1",R2:R5,"&lt;&gt;TRUE")+COUNTIFS(F2:F5,"=-3",R2:R5,"&lt;&gt;TRUE")</f>
        <v>1</v>
      </c>
    </row>
    <row r="15" spans="1:21" x14ac:dyDescent="0.25">
      <c r="A15" s="4" t="s">
        <v>75</v>
      </c>
      <c r="F15">
        <f>COUNTIFS(G2:G5,"=-1")+COUNTIFS(G2:G5,"=-3")</f>
        <v>0</v>
      </c>
      <c r="H15" s="4" t="s">
        <v>75</v>
      </c>
      <c r="K15">
        <f>COUNTIFS(G2:G5,"=-1",S2:S5,"&lt;&gt;TRUE")+COUNTIFS(G2:G5,"=-3",S2:S5,"&lt;&gt;TRUE")</f>
        <v>0</v>
      </c>
    </row>
    <row r="16" spans="1:21" x14ac:dyDescent="0.25">
      <c r="A16" s="4" t="s">
        <v>76</v>
      </c>
      <c r="F16" s="8">
        <f>F10/F9</f>
        <v>0.66666666666666663</v>
      </c>
      <c r="H16" s="4" t="s">
        <v>76</v>
      </c>
      <c r="K16" s="8">
        <f>K10/K9</f>
        <v>0.66666666666666663</v>
      </c>
    </row>
    <row r="17" spans="1:11" x14ac:dyDescent="0.25">
      <c r="A17" s="4" t="s">
        <v>77</v>
      </c>
      <c r="F17" s="8">
        <f>F11/F9</f>
        <v>1</v>
      </c>
      <c r="H17" s="4" t="s">
        <v>78</v>
      </c>
      <c r="K17" s="8">
        <f>K11/K9</f>
        <v>1</v>
      </c>
    </row>
    <row r="18" spans="1:11" x14ac:dyDescent="0.25">
      <c r="A18" s="4" t="s">
        <v>79</v>
      </c>
      <c r="F18" s="8">
        <f>F10/(F10+F12)</f>
        <v>1</v>
      </c>
      <c r="H18" s="4" t="s">
        <v>79</v>
      </c>
      <c r="K18" s="8">
        <f>K10/(K10+K12)</f>
        <v>1</v>
      </c>
    </row>
    <row r="19" spans="1:11" x14ac:dyDescent="0.25">
      <c r="A19" s="4" t="s">
        <v>80</v>
      </c>
      <c r="F19" s="8">
        <f>F11/(F11+F13)</f>
        <v>0.75</v>
      </c>
      <c r="H19" s="4" t="s">
        <v>80</v>
      </c>
      <c r="K19" s="8">
        <f>K11/(K11+K13)</f>
        <v>0.75</v>
      </c>
    </row>
    <row r="22" spans="1:11" ht="15.75" x14ac:dyDescent="0.25">
      <c r="A22" s="3" t="s">
        <v>81</v>
      </c>
      <c r="H22" s="3" t="s">
        <v>82</v>
      </c>
    </row>
    <row r="23" spans="1:11" x14ac:dyDescent="0.25">
      <c r="A23" s="4" t="s">
        <v>69</v>
      </c>
      <c r="F23">
        <f>COUNTIFS(H2:H5,"&lt;&gt;*_FP",H2:H5,"&lt;&gt;",H2:H5,"&lt;&gt;no structure")</f>
        <v>3</v>
      </c>
      <c r="H23" s="4" t="s">
        <v>69</v>
      </c>
      <c r="K23">
        <f>COUNTIFS(H2:H5,"&lt;&gt;*_FP",H2:H5,"&lt;&gt;",H2:H5,"&lt;&gt;no structure",T2:T5,"&lt;&gt;TRUE")</f>
        <v>3</v>
      </c>
    </row>
    <row r="24" spans="1:11" x14ac:dyDescent="0.25">
      <c r="A24" s="4" t="s">
        <v>70</v>
      </c>
      <c r="F24">
        <f>COUNTIFS(K2:K5,"&gt;0")</f>
        <v>2</v>
      </c>
      <c r="H24" s="4" t="s">
        <v>70</v>
      </c>
      <c r="K24">
        <f>COUNTIFS(K2:K5,"&gt;0",T2:T5,"&lt;&gt;TRUE")</f>
        <v>2</v>
      </c>
    </row>
    <row r="25" spans="1:11" x14ac:dyDescent="0.25">
      <c r="A25" s="4" t="s">
        <v>71</v>
      </c>
      <c r="F25">
        <f>COUNTIFS(L2:L5,"&gt;0")</f>
        <v>3</v>
      </c>
      <c r="H25" s="4" t="s">
        <v>71</v>
      </c>
      <c r="K25">
        <f>COUNTIFS(L2:L5,"&gt;0",U2:U5,"&lt;&gt;TRUE")</f>
        <v>3</v>
      </c>
    </row>
    <row r="26" spans="1:11" x14ac:dyDescent="0.25">
      <c r="A26" s="4" t="s">
        <v>72</v>
      </c>
      <c r="F26">
        <f>COUNTIFS(K2:K5,"&lt;&gt;-1",K2:K5,"&lt;&gt;0",K2:K5,"&lt;2")</f>
        <v>0</v>
      </c>
      <c r="H26" s="4" t="s">
        <v>72</v>
      </c>
      <c r="K26">
        <f>COUNTIFS(K2:K5,"&lt;&gt;-1",K2:K5,"&lt;&gt;0",K2:K5,"&lt;2",T2:T5,"&lt;&gt;TRUE")</f>
        <v>0</v>
      </c>
    </row>
    <row r="27" spans="1:11" x14ac:dyDescent="0.25">
      <c r="A27" s="4" t="s">
        <v>73</v>
      </c>
      <c r="F27">
        <f>COUNTIFS(L2:L5,"&lt;&gt;-1",L2:L5,"&lt;&gt;0",L2:L5,"&lt;2")</f>
        <v>1</v>
      </c>
      <c r="H27" s="4" t="s">
        <v>73</v>
      </c>
      <c r="K27">
        <f>COUNTIFS(L2:L5,"&lt;&gt;-1",L2:L5,"&lt;&gt;0",L2:L5,"&lt;2",U2:U5,"&lt;&gt;TRUE")</f>
        <v>1</v>
      </c>
    </row>
    <row r="28" spans="1:11" x14ac:dyDescent="0.25">
      <c r="A28" s="4" t="s">
        <v>74</v>
      </c>
      <c r="F28">
        <f>COUNTIFS(K2:K5,"=-1")+COUNTIFS(K2:K5,"=-3")</f>
        <v>1</v>
      </c>
      <c r="H28" s="4" t="s">
        <v>74</v>
      </c>
      <c r="K28">
        <f>COUNTIFS(K2:K5,"=-1",T2:T5,"&lt;&gt;TRUE")+COUNTIFS(K2:K5,"=-3",T2:T5,"&lt;&gt;TRUE")</f>
        <v>1</v>
      </c>
    </row>
    <row r="29" spans="1:11" x14ac:dyDescent="0.25">
      <c r="A29" s="4" t="s">
        <v>75</v>
      </c>
      <c r="F29">
        <f>COUNTIFS(L2:L5,"=-1")+COUNTIFS(L2:L5,"=-3")</f>
        <v>0</v>
      </c>
      <c r="H29" s="4" t="s">
        <v>75</v>
      </c>
      <c r="K29">
        <f>COUNTIFS(L2:L5,"=-1",U2:U5,"&lt;&gt;TRUE")+COUNTIFS(L2:L5,"=-3",U2:U5,"&lt;&gt;TRUE")</f>
        <v>0</v>
      </c>
    </row>
    <row r="30" spans="1:11" x14ac:dyDescent="0.25">
      <c r="A30" s="4" t="s">
        <v>76</v>
      </c>
      <c r="F30" s="8">
        <f>F24/F23</f>
        <v>0.66666666666666663</v>
      </c>
      <c r="H30" s="4" t="s">
        <v>76</v>
      </c>
      <c r="K30" s="8">
        <f>K24/K23</f>
        <v>0.66666666666666663</v>
      </c>
    </row>
    <row r="31" spans="1:11" x14ac:dyDescent="0.25">
      <c r="A31" s="4" t="s">
        <v>77</v>
      </c>
      <c r="F31" s="8">
        <f>F25/F23</f>
        <v>1</v>
      </c>
      <c r="H31" s="4" t="s">
        <v>78</v>
      </c>
      <c r="K31" s="8">
        <f>K25/K23</f>
        <v>1</v>
      </c>
    </row>
    <row r="32" spans="1:11" x14ac:dyDescent="0.25">
      <c r="A32" s="4" t="s">
        <v>79</v>
      </c>
      <c r="F32" s="8">
        <f>F24/(F24+F26)</f>
        <v>1</v>
      </c>
      <c r="H32" s="4" t="s">
        <v>79</v>
      </c>
      <c r="K32" s="8">
        <f>K24/(K24+K26)</f>
        <v>1</v>
      </c>
    </row>
    <row r="33" spans="1:11" x14ac:dyDescent="0.25">
      <c r="A33" s="4" t="s">
        <v>80</v>
      </c>
      <c r="F33" s="8">
        <f>F25/(F25+F27)</f>
        <v>0.75</v>
      </c>
      <c r="H33" s="4" t="s">
        <v>80</v>
      </c>
      <c r="K33" s="8">
        <f>K25/(K25+K27)</f>
        <v>0.75</v>
      </c>
    </row>
    <row r="36" spans="1:11" ht="15.75" x14ac:dyDescent="0.25">
      <c r="A36" s="3" t="s">
        <v>83</v>
      </c>
    </row>
    <row r="37" spans="1:11" x14ac:dyDescent="0.25">
      <c r="A37" s="1" t="s">
        <v>84</v>
      </c>
    </row>
    <row r="38" spans="1:11" x14ac:dyDescent="0.25">
      <c r="A38" s="5" t="s">
        <v>85</v>
      </c>
    </row>
    <row r="40" spans="1:11" x14ac:dyDescent="0.25">
      <c r="A40" s="1" t="s">
        <v>86</v>
      </c>
    </row>
    <row r="41" spans="1:11" x14ac:dyDescent="0.25">
      <c r="A41" s="6" t="s">
        <v>87</v>
      </c>
    </row>
    <row r="42" spans="1:11" x14ac:dyDescent="0.25">
      <c r="A42" s="7" t="s">
        <v>88</v>
      </c>
    </row>
    <row r="43" spans="1:11" x14ac:dyDescent="0.25">
      <c r="A43" s="5" t="s">
        <v>89</v>
      </c>
    </row>
    <row r="45" spans="1:11" x14ac:dyDescent="0.25">
      <c r="A45" s="4" t="s">
        <v>90</v>
      </c>
    </row>
    <row r="46" spans="1:11" x14ac:dyDescent="0.25">
      <c r="A46" t="s">
        <v>91</v>
      </c>
    </row>
    <row r="47" spans="1:11" x14ac:dyDescent="0.25">
      <c r="A47" t="s">
        <v>92</v>
      </c>
    </row>
    <row r="48" spans="1:11" x14ac:dyDescent="0.25">
      <c r="A48" t="s">
        <v>93</v>
      </c>
    </row>
    <row r="49" spans="1:1" x14ac:dyDescent="0.25">
      <c r="A49" t="s">
        <v>94</v>
      </c>
    </row>
    <row r="50" spans="1:1" x14ac:dyDescent="0.25">
      <c r="A50" t="s">
        <v>95</v>
      </c>
    </row>
    <row r="51" spans="1:1" x14ac:dyDescent="0.25">
      <c r="A51" t="s">
        <v>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topLeftCell="A67" workbookViewId="0"/>
  </sheetViews>
  <sheetFormatPr baseColWidth="10" defaultColWidth="8.85546875" defaultRowHeight="15" x14ac:dyDescent="0.25"/>
  <cols>
    <col min="2" max="2" width="11" customWidth="1"/>
    <col min="3" max="3" width="9.140625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132</v>
      </c>
      <c r="B2" s="1" t="s">
        <v>133</v>
      </c>
      <c r="C2" t="s">
        <v>134</v>
      </c>
      <c r="D2" t="s">
        <v>135</v>
      </c>
      <c r="E2" t="s">
        <v>21</v>
      </c>
      <c r="F2">
        <v>0</v>
      </c>
      <c r="G2">
        <v>0</v>
      </c>
      <c r="M2" t="s">
        <v>136</v>
      </c>
      <c r="N2" t="s">
        <v>137</v>
      </c>
      <c r="O2" t="s">
        <v>17</v>
      </c>
      <c r="Q2" t="s">
        <v>138</v>
      </c>
    </row>
    <row r="3" spans="1:21" x14ac:dyDescent="0.25">
      <c r="A3" t="s">
        <v>132</v>
      </c>
      <c r="B3" s="1" t="s">
        <v>133</v>
      </c>
      <c r="C3" t="s">
        <v>139</v>
      </c>
      <c r="D3" t="s">
        <v>135</v>
      </c>
      <c r="E3" t="s">
        <v>21</v>
      </c>
      <c r="F3">
        <v>0</v>
      </c>
      <c r="G3">
        <v>0</v>
      </c>
      <c r="M3" t="s">
        <v>136</v>
      </c>
      <c r="N3" t="s">
        <v>140</v>
      </c>
      <c r="O3" t="s">
        <v>17</v>
      </c>
      <c r="Q3" t="s">
        <v>138</v>
      </c>
      <c r="R3" t="b">
        <v>1</v>
      </c>
      <c r="S3" t="b">
        <v>1</v>
      </c>
    </row>
    <row r="4" spans="1:21" x14ac:dyDescent="0.25">
      <c r="A4" t="s">
        <v>132</v>
      </c>
      <c r="B4" s="1" t="s">
        <v>141</v>
      </c>
      <c r="C4" t="s">
        <v>134</v>
      </c>
      <c r="D4" t="s">
        <v>142</v>
      </c>
      <c r="E4" t="s">
        <v>21</v>
      </c>
      <c r="F4">
        <v>0</v>
      </c>
      <c r="G4">
        <v>0</v>
      </c>
      <c r="M4" t="s">
        <v>143</v>
      </c>
      <c r="N4" t="s">
        <v>144</v>
      </c>
      <c r="O4" t="s">
        <v>17</v>
      </c>
      <c r="Q4" t="s">
        <v>138</v>
      </c>
    </row>
    <row r="5" spans="1:21" x14ac:dyDescent="0.25">
      <c r="A5" t="s">
        <v>132</v>
      </c>
      <c r="B5" s="1" t="s">
        <v>145</v>
      </c>
      <c r="C5" t="s">
        <v>139</v>
      </c>
      <c r="D5" t="s">
        <v>146</v>
      </c>
      <c r="E5" t="s">
        <v>21</v>
      </c>
      <c r="F5">
        <v>0</v>
      </c>
      <c r="G5">
        <v>0</v>
      </c>
      <c r="M5" t="s">
        <v>99</v>
      </c>
      <c r="N5" t="s">
        <v>147</v>
      </c>
      <c r="O5" t="s">
        <v>17</v>
      </c>
      <c r="Q5" t="s">
        <v>138</v>
      </c>
    </row>
    <row r="6" spans="1:21" x14ac:dyDescent="0.25">
      <c r="A6" t="s">
        <v>132</v>
      </c>
      <c r="B6" s="1" t="s">
        <v>148</v>
      </c>
      <c r="C6" t="s">
        <v>139</v>
      </c>
      <c r="D6" t="s">
        <v>149</v>
      </c>
      <c r="E6" t="s">
        <v>21</v>
      </c>
      <c r="F6">
        <v>0</v>
      </c>
      <c r="G6">
        <v>0</v>
      </c>
      <c r="M6" t="s">
        <v>124</v>
      </c>
      <c r="N6" t="s">
        <v>150</v>
      </c>
      <c r="O6" t="s">
        <v>17</v>
      </c>
      <c r="Q6" t="s">
        <v>138</v>
      </c>
    </row>
    <row r="7" spans="1:21" x14ac:dyDescent="0.25">
      <c r="A7" t="s">
        <v>132</v>
      </c>
      <c r="B7" s="1" t="s">
        <v>151</v>
      </c>
      <c r="C7" t="s">
        <v>134</v>
      </c>
      <c r="D7" t="s">
        <v>152</v>
      </c>
      <c r="E7" t="s">
        <v>21</v>
      </c>
      <c r="F7">
        <v>0</v>
      </c>
      <c r="G7">
        <v>0</v>
      </c>
      <c r="M7" t="s">
        <v>153</v>
      </c>
      <c r="N7" t="s">
        <v>154</v>
      </c>
      <c r="O7" t="s">
        <v>17</v>
      </c>
      <c r="Q7" t="s">
        <v>138</v>
      </c>
    </row>
    <row r="8" spans="1:21" x14ac:dyDescent="0.25">
      <c r="A8" t="s">
        <v>132</v>
      </c>
      <c r="B8" s="1" t="s">
        <v>22</v>
      </c>
      <c r="C8" t="s">
        <v>134</v>
      </c>
      <c r="D8" s="1" t="s">
        <v>22</v>
      </c>
      <c r="E8" s="6" t="s">
        <v>22</v>
      </c>
      <c r="F8" s="1">
        <v>2</v>
      </c>
      <c r="G8" s="6">
        <v>1</v>
      </c>
      <c r="H8" s="1" t="s">
        <v>155</v>
      </c>
      <c r="I8" s="1" t="s">
        <v>155</v>
      </c>
      <c r="J8" s="6" t="s">
        <v>155</v>
      </c>
      <c r="K8" s="1">
        <v>2</v>
      </c>
      <c r="L8" s="6">
        <v>1</v>
      </c>
      <c r="M8" t="s">
        <v>156</v>
      </c>
      <c r="N8" t="s">
        <v>157</v>
      </c>
      <c r="O8" t="s">
        <v>158</v>
      </c>
      <c r="P8">
        <v>5.5</v>
      </c>
      <c r="Q8" t="s">
        <v>425</v>
      </c>
    </row>
    <row r="9" spans="1:21" x14ac:dyDescent="0.25">
      <c r="A9" t="s">
        <v>132</v>
      </c>
      <c r="B9" s="1" t="s">
        <v>22</v>
      </c>
      <c r="C9" t="s">
        <v>139</v>
      </c>
      <c r="D9" s="1" t="s">
        <v>22</v>
      </c>
      <c r="E9" s="5" t="s">
        <v>21</v>
      </c>
      <c r="F9" s="1">
        <v>2</v>
      </c>
      <c r="G9" s="5">
        <v>-1</v>
      </c>
      <c r="H9" s="1" t="s">
        <v>155</v>
      </c>
      <c r="I9" s="1" t="s">
        <v>155</v>
      </c>
      <c r="J9" s="5" t="s">
        <v>21</v>
      </c>
      <c r="K9" s="1">
        <v>2</v>
      </c>
      <c r="L9" s="5">
        <v>-1</v>
      </c>
      <c r="M9" t="s">
        <v>156</v>
      </c>
      <c r="N9" t="s">
        <v>157</v>
      </c>
      <c r="O9" t="s">
        <v>17</v>
      </c>
      <c r="R9" t="b">
        <v>1</v>
      </c>
      <c r="S9" t="b">
        <v>1</v>
      </c>
      <c r="T9" t="b">
        <v>1</v>
      </c>
      <c r="U9" t="b">
        <v>1</v>
      </c>
    </row>
    <row r="10" spans="1:21" x14ac:dyDescent="0.25">
      <c r="A10" t="s">
        <v>132</v>
      </c>
      <c r="B10" s="1" t="s">
        <v>26</v>
      </c>
      <c r="C10" t="s">
        <v>134</v>
      </c>
      <c r="D10" s="1" t="s">
        <v>26</v>
      </c>
      <c r="E10" s="1" t="s">
        <v>26</v>
      </c>
      <c r="F10" s="1">
        <v>2</v>
      </c>
      <c r="G10" s="1">
        <v>2</v>
      </c>
      <c r="H10" s="1" t="s">
        <v>27</v>
      </c>
      <c r="I10" s="1" t="s">
        <v>27</v>
      </c>
      <c r="J10" s="1" t="s">
        <v>27</v>
      </c>
      <c r="K10" s="1">
        <v>2</v>
      </c>
      <c r="L10" s="1">
        <v>2</v>
      </c>
      <c r="M10" t="s">
        <v>159</v>
      </c>
      <c r="N10" t="s">
        <v>160</v>
      </c>
      <c r="O10" t="s">
        <v>161</v>
      </c>
      <c r="P10">
        <v>8</v>
      </c>
    </row>
    <row r="11" spans="1:21" x14ac:dyDescent="0.25">
      <c r="A11" t="s">
        <v>132</v>
      </c>
      <c r="B11" s="1" t="s">
        <v>26</v>
      </c>
      <c r="C11" t="s">
        <v>139</v>
      </c>
      <c r="D11" s="1" t="s">
        <v>26</v>
      </c>
      <c r="E11" s="1" t="s">
        <v>26</v>
      </c>
      <c r="F11" s="1">
        <v>2</v>
      </c>
      <c r="G11" s="1">
        <v>2</v>
      </c>
      <c r="H11" s="1" t="s">
        <v>27</v>
      </c>
      <c r="I11" s="1" t="s">
        <v>27</v>
      </c>
      <c r="J11" s="1" t="s">
        <v>27</v>
      </c>
      <c r="K11" s="1">
        <v>2</v>
      </c>
      <c r="L11" s="1">
        <v>2</v>
      </c>
      <c r="M11" t="s">
        <v>159</v>
      </c>
      <c r="N11" t="s">
        <v>160</v>
      </c>
      <c r="O11" t="s">
        <v>162</v>
      </c>
      <c r="P11">
        <v>15.7</v>
      </c>
      <c r="R11" t="b">
        <v>1</v>
      </c>
      <c r="S11" t="b">
        <v>1</v>
      </c>
      <c r="T11" t="b">
        <v>1</v>
      </c>
      <c r="U11" t="b">
        <v>1</v>
      </c>
    </row>
    <row r="12" spans="1:21" x14ac:dyDescent="0.25">
      <c r="A12" t="s">
        <v>132</v>
      </c>
      <c r="B12" s="1" t="s">
        <v>163</v>
      </c>
      <c r="C12" t="s">
        <v>134</v>
      </c>
      <c r="D12" t="s">
        <v>164</v>
      </c>
      <c r="E12" t="s">
        <v>21</v>
      </c>
      <c r="F12">
        <v>0</v>
      </c>
      <c r="G12">
        <v>0</v>
      </c>
      <c r="M12" t="s">
        <v>165</v>
      </c>
      <c r="N12" t="s">
        <v>166</v>
      </c>
      <c r="O12" t="s">
        <v>17</v>
      </c>
      <c r="Q12" t="s">
        <v>138</v>
      </c>
    </row>
    <row r="13" spans="1:21" x14ac:dyDescent="0.25">
      <c r="A13" t="s">
        <v>132</v>
      </c>
      <c r="B13" s="1" t="s">
        <v>163</v>
      </c>
      <c r="C13" t="s">
        <v>139</v>
      </c>
      <c r="D13" t="s">
        <v>164</v>
      </c>
      <c r="E13" t="s">
        <v>21</v>
      </c>
      <c r="F13">
        <v>0</v>
      </c>
      <c r="G13">
        <v>0</v>
      </c>
      <c r="M13" t="s">
        <v>165</v>
      </c>
      <c r="N13" t="s">
        <v>167</v>
      </c>
      <c r="O13" t="s">
        <v>17</v>
      </c>
      <c r="Q13" t="s">
        <v>138</v>
      </c>
      <c r="R13" t="b">
        <v>1</v>
      </c>
      <c r="S13" t="b">
        <v>1</v>
      </c>
    </row>
    <row r="14" spans="1:21" x14ac:dyDescent="0.25">
      <c r="A14" t="s">
        <v>132</v>
      </c>
      <c r="B14" s="1" t="s">
        <v>168</v>
      </c>
      <c r="C14" t="s">
        <v>134</v>
      </c>
      <c r="D14" s="1" t="s">
        <v>168</v>
      </c>
      <c r="E14" s="5" t="s">
        <v>21</v>
      </c>
      <c r="F14" s="1">
        <v>2</v>
      </c>
      <c r="G14" s="5">
        <v>-1</v>
      </c>
      <c r="H14" s="1" t="s">
        <v>169</v>
      </c>
      <c r="I14" s="1" t="s">
        <v>169</v>
      </c>
      <c r="J14" s="5" t="s">
        <v>21</v>
      </c>
      <c r="K14" s="1">
        <v>2</v>
      </c>
      <c r="L14" s="5">
        <v>-1</v>
      </c>
      <c r="M14" t="s">
        <v>170</v>
      </c>
      <c r="N14" t="s">
        <v>171</v>
      </c>
      <c r="O14" t="s">
        <v>17</v>
      </c>
    </row>
    <row r="15" spans="1:21" x14ac:dyDescent="0.25">
      <c r="H15" s="1" t="s">
        <v>172</v>
      </c>
      <c r="I15" s="1" t="s">
        <v>172</v>
      </c>
      <c r="J15" s="5" t="s">
        <v>21</v>
      </c>
      <c r="K15" s="1">
        <v>2</v>
      </c>
      <c r="L15" s="5">
        <v>-1</v>
      </c>
      <c r="M15" t="s">
        <v>170</v>
      </c>
      <c r="N15" t="s">
        <v>171</v>
      </c>
      <c r="O15" t="s">
        <v>17</v>
      </c>
    </row>
    <row r="16" spans="1:21" x14ac:dyDescent="0.25">
      <c r="A16" t="s">
        <v>132</v>
      </c>
      <c r="B16" s="1" t="s">
        <v>173</v>
      </c>
      <c r="C16" t="s">
        <v>139</v>
      </c>
      <c r="D16" t="s">
        <v>168</v>
      </c>
      <c r="E16" t="s">
        <v>21</v>
      </c>
      <c r="F16">
        <v>0</v>
      </c>
      <c r="G16">
        <v>0</v>
      </c>
      <c r="M16" t="s">
        <v>170</v>
      </c>
      <c r="N16" t="s">
        <v>140</v>
      </c>
      <c r="O16" t="s">
        <v>17</v>
      </c>
      <c r="Q16" t="s">
        <v>138</v>
      </c>
      <c r="R16" t="b">
        <v>1</v>
      </c>
      <c r="S16" t="b">
        <v>1</v>
      </c>
    </row>
    <row r="17" spans="1:21" x14ac:dyDescent="0.25">
      <c r="A17" t="s">
        <v>132</v>
      </c>
      <c r="B17" s="1" t="s">
        <v>174</v>
      </c>
      <c r="C17" t="s">
        <v>139</v>
      </c>
      <c r="D17" t="s">
        <v>21</v>
      </c>
      <c r="E17" s="5" t="s">
        <v>175</v>
      </c>
      <c r="F17">
        <v>0</v>
      </c>
      <c r="G17" s="5">
        <v>-2</v>
      </c>
      <c r="H17" s="5" t="s">
        <v>176</v>
      </c>
      <c r="I17" t="s">
        <v>21</v>
      </c>
      <c r="J17" s="5" t="s">
        <v>177</v>
      </c>
      <c r="K17">
        <v>0</v>
      </c>
      <c r="L17" s="5">
        <v>-2</v>
      </c>
      <c r="M17" t="s">
        <v>17</v>
      </c>
      <c r="N17" t="s">
        <v>17</v>
      </c>
      <c r="O17" t="s">
        <v>178</v>
      </c>
      <c r="P17">
        <v>10.7</v>
      </c>
      <c r="Q17" t="s">
        <v>426</v>
      </c>
    </row>
    <row r="18" spans="1:21" x14ac:dyDescent="0.25">
      <c r="A18" t="s">
        <v>132</v>
      </c>
      <c r="B18" s="1" t="s">
        <v>179</v>
      </c>
      <c r="C18" t="s">
        <v>134</v>
      </c>
      <c r="D18" s="1" t="s">
        <v>179</v>
      </c>
      <c r="E18" s="6" t="s">
        <v>179</v>
      </c>
      <c r="F18" s="1">
        <v>2</v>
      </c>
      <c r="G18" s="6">
        <v>1</v>
      </c>
      <c r="H18" s="1" t="s">
        <v>180</v>
      </c>
      <c r="I18" s="1" t="s">
        <v>180</v>
      </c>
      <c r="J18" s="6" t="s">
        <v>180</v>
      </c>
      <c r="K18" s="1">
        <v>2</v>
      </c>
      <c r="L18" s="6">
        <v>1</v>
      </c>
      <c r="M18" t="s">
        <v>181</v>
      </c>
      <c r="N18" t="s">
        <v>182</v>
      </c>
      <c r="O18" t="s">
        <v>183</v>
      </c>
      <c r="P18">
        <v>5.5</v>
      </c>
      <c r="Q18" t="s">
        <v>427</v>
      </c>
      <c r="S18" t="b">
        <v>1</v>
      </c>
      <c r="U18" t="b">
        <v>1</v>
      </c>
    </row>
    <row r="19" spans="1:21" x14ac:dyDescent="0.25">
      <c r="H19" s="5" t="s">
        <v>184</v>
      </c>
      <c r="I19" t="s">
        <v>21</v>
      </c>
      <c r="J19" s="5" t="s">
        <v>185</v>
      </c>
      <c r="K19">
        <v>0</v>
      </c>
      <c r="L19" s="5">
        <v>-2</v>
      </c>
      <c r="M19" t="s">
        <v>17</v>
      </c>
      <c r="N19" t="s">
        <v>17</v>
      </c>
      <c r="O19" t="s">
        <v>186</v>
      </c>
      <c r="P19">
        <v>3.7</v>
      </c>
      <c r="Q19" t="s">
        <v>428</v>
      </c>
    </row>
    <row r="20" spans="1:21" x14ac:dyDescent="0.25">
      <c r="A20" t="s">
        <v>132</v>
      </c>
      <c r="B20" s="1" t="s">
        <v>179</v>
      </c>
      <c r="C20" t="s">
        <v>139</v>
      </c>
      <c r="D20" s="1" t="s">
        <v>179</v>
      </c>
      <c r="E20" s="1" t="s">
        <v>179</v>
      </c>
      <c r="F20" s="1">
        <v>2</v>
      </c>
      <c r="G20" s="1">
        <v>2</v>
      </c>
      <c r="H20" s="1" t="s">
        <v>180</v>
      </c>
      <c r="I20" s="1" t="s">
        <v>180</v>
      </c>
      <c r="J20" s="1" t="s">
        <v>180</v>
      </c>
      <c r="K20" s="1">
        <v>2</v>
      </c>
      <c r="L20" s="1">
        <v>2</v>
      </c>
      <c r="M20" t="s">
        <v>181</v>
      </c>
      <c r="N20" t="s">
        <v>187</v>
      </c>
      <c r="O20" t="s">
        <v>188</v>
      </c>
      <c r="P20">
        <v>10.199999999999999</v>
      </c>
      <c r="R20" t="b">
        <v>1</v>
      </c>
      <c r="T20" t="b">
        <v>1</v>
      </c>
    </row>
    <row r="21" spans="1:21" x14ac:dyDescent="0.25">
      <c r="A21" t="s">
        <v>132</v>
      </c>
      <c r="B21" s="1" t="s">
        <v>189</v>
      </c>
      <c r="C21" t="s">
        <v>134</v>
      </c>
      <c r="D21" s="1" t="s">
        <v>189</v>
      </c>
      <c r="E21" s="1" t="s">
        <v>189</v>
      </c>
      <c r="F21" s="1">
        <v>2</v>
      </c>
      <c r="G21" s="1">
        <v>2</v>
      </c>
      <c r="H21" s="1" t="s">
        <v>190</v>
      </c>
      <c r="I21" s="1" t="s">
        <v>190</v>
      </c>
      <c r="J21" s="1" t="s">
        <v>190</v>
      </c>
      <c r="K21" s="1">
        <v>2</v>
      </c>
      <c r="L21" s="1">
        <v>2</v>
      </c>
      <c r="M21" t="s">
        <v>143</v>
      </c>
      <c r="N21" t="s">
        <v>191</v>
      </c>
      <c r="O21" t="s">
        <v>192</v>
      </c>
      <c r="P21">
        <v>7.8</v>
      </c>
    </row>
    <row r="22" spans="1:21" x14ac:dyDescent="0.25">
      <c r="A22" t="s">
        <v>132</v>
      </c>
      <c r="B22" s="1" t="s">
        <v>189</v>
      </c>
      <c r="C22" t="s">
        <v>139</v>
      </c>
      <c r="D22" s="1" t="s">
        <v>189</v>
      </c>
      <c r="E22" s="1" t="s">
        <v>189</v>
      </c>
      <c r="F22" s="1">
        <v>2</v>
      </c>
      <c r="G22" s="1">
        <v>2</v>
      </c>
      <c r="H22" s="1" t="s">
        <v>190</v>
      </c>
      <c r="I22" s="1" t="s">
        <v>190</v>
      </c>
      <c r="J22" s="1" t="s">
        <v>190</v>
      </c>
      <c r="K22" s="1">
        <v>2</v>
      </c>
      <c r="L22" s="1">
        <v>2</v>
      </c>
      <c r="M22" t="s">
        <v>143</v>
      </c>
      <c r="N22" t="s">
        <v>191</v>
      </c>
      <c r="O22" t="s">
        <v>193</v>
      </c>
      <c r="P22">
        <v>16</v>
      </c>
      <c r="R22" t="b">
        <v>1</v>
      </c>
      <c r="S22" t="b">
        <v>1</v>
      </c>
      <c r="T22" t="b">
        <v>1</v>
      </c>
      <c r="U22" t="b">
        <v>1</v>
      </c>
    </row>
    <row r="23" spans="1:21" x14ac:dyDescent="0.25">
      <c r="A23" t="s">
        <v>132</v>
      </c>
      <c r="B23" s="1" t="s">
        <v>35</v>
      </c>
      <c r="C23" t="s">
        <v>134</v>
      </c>
      <c r="D23" s="1" t="s">
        <v>35</v>
      </c>
      <c r="E23" s="1" t="s">
        <v>35</v>
      </c>
      <c r="F23" s="1">
        <v>2</v>
      </c>
      <c r="G23" s="1">
        <v>2</v>
      </c>
      <c r="H23" s="1" t="s">
        <v>194</v>
      </c>
      <c r="I23" s="1" t="s">
        <v>194</v>
      </c>
      <c r="J23" s="1" t="s">
        <v>195</v>
      </c>
      <c r="K23" s="1">
        <v>2</v>
      </c>
      <c r="L23" s="1">
        <v>2</v>
      </c>
      <c r="M23" t="s">
        <v>196</v>
      </c>
      <c r="N23" t="s">
        <v>100</v>
      </c>
      <c r="O23" t="s">
        <v>197</v>
      </c>
      <c r="P23">
        <v>12.4</v>
      </c>
    </row>
    <row r="24" spans="1:21" x14ac:dyDescent="0.25">
      <c r="H24" s="1" t="s">
        <v>198</v>
      </c>
      <c r="I24" s="1" t="s">
        <v>198</v>
      </c>
      <c r="J24" s="1" t="s">
        <v>198</v>
      </c>
      <c r="K24" s="1">
        <v>2</v>
      </c>
      <c r="L24" s="1">
        <v>2</v>
      </c>
      <c r="M24" t="s">
        <v>196</v>
      </c>
      <c r="N24" t="s">
        <v>100</v>
      </c>
      <c r="O24" t="s">
        <v>199</v>
      </c>
      <c r="P24">
        <v>1</v>
      </c>
    </row>
    <row r="25" spans="1:21" x14ac:dyDescent="0.25">
      <c r="A25" t="s">
        <v>132</v>
      </c>
      <c r="B25" s="1" t="s">
        <v>35</v>
      </c>
      <c r="C25" t="s">
        <v>139</v>
      </c>
      <c r="D25" s="1" t="s">
        <v>35</v>
      </c>
      <c r="E25" s="1" t="s">
        <v>35</v>
      </c>
      <c r="F25" s="1">
        <v>2</v>
      </c>
      <c r="G25" s="1">
        <v>2</v>
      </c>
      <c r="H25" s="1" t="s">
        <v>194</v>
      </c>
      <c r="I25" s="1" t="s">
        <v>194</v>
      </c>
      <c r="J25" s="5" t="s">
        <v>21</v>
      </c>
      <c r="K25" s="1">
        <v>2</v>
      </c>
      <c r="L25" s="5">
        <v>-1</v>
      </c>
      <c r="M25" t="s">
        <v>196</v>
      </c>
      <c r="N25" t="s">
        <v>100</v>
      </c>
      <c r="O25" t="s">
        <v>17</v>
      </c>
      <c r="R25" t="b">
        <v>1</v>
      </c>
      <c r="S25" t="b">
        <v>1</v>
      </c>
      <c r="T25" t="b">
        <v>1</v>
      </c>
      <c r="U25" t="b">
        <v>1</v>
      </c>
    </row>
    <row r="26" spans="1:21" x14ac:dyDescent="0.25">
      <c r="H26" s="1" t="s">
        <v>198</v>
      </c>
      <c r="I26" s="1" t="s">
        <v>198</v>
      </c>
      <c r="J26" s="1" t="s">
        <v>198</v>
      </c>
      <c r="K26" s="1">
        <v>2</v>
      </c>
      <c r="L26" s="1">
        <v>2</v>
      </c>
      <c r="M26" t="s">
        <v>196</v>
      </c>
      <c r="N26" t="s">
        <v>100</v>
      </c>
      <c r="O26" t="s">
        <v>200</v>
      </c>
      <c r="P26">
        <v>1.2</v>
      </c>
      <c r="T26" t="b">
        <v>1</v>
      </c>
      <c r="U26" t="b">
        <v>1</v>
      </c>
    </row>
    <row r="27" spans="1:21" x14ac:dyDescent="0.25">
      <c r="A27" t="s">
        <v>132</v>
      </c>
      <c r="B27" s="1" t="s">
        <v>38</v>
      </c>
      <c r="C27" t="s">
        <v>134</v>
      </c>
      <c r="D27" s="1" t="s">
        <v>38</v>
      </c>
      <c r="E27" s="1" t="s">
        <v>38</v>
      </c>
      <c r="F27" s="1">
        <v>2</v>
      </c>
      <c r="G27" s="1">
        <v>2</v>
      </c>
      <c r="H27" s="1" t="s">
        <v>39</v>
      </c>
      <c r="I27" s="1" t="s">
        <v>39</v>
      </c>
      <c r="J27" s="1" t="s">
        <v>39</v>
      </c>
      <c r="K27" s="1">
        <v>2</v>
      </c>
      <c r="L27" s="1">
        <v>2</v>
      </c>
      <c r="M27" t="s">
        <v>201</v>
      </c>
      <c r="N27" t="s">
        <v>202</v>
      </c>
      <c r="O27" t="s">
        <v>203</v>
      </c>
      <c r="P27">
        <v>15.3</v>
      </c>
    </row>
    <row r="28" spans="1:21" x14ac:dyDescent="0.25">
      <c r="A28" t="s">
        <v>132</v>
      </c>
      <c r="B28" s="1" t="s">
        <v>38</v>
      </c>
      <c r="C28" t="s">
        <v>139</v>
      </c>
      <c r="D28" s="1" t="s">
        <v>38</v>
      </c>
      <c r="E28" s="1" t="s">
        <v>38</v>
      </c>
      <c r="F28" s="1">
        <v>2</v>
      </c>
      <c r="G28" s="1">
        <v>2</v>
      </c>
      <c r="H28" s="1" t="s">
        <v>39</v>
      </c>
      <c r="I28" s="1" t="s">
        <v>39</v>
      </c>
      <c r="J28" s="1" t="s">
        <v>39</v>
      </c>
      <c r="K28" s="1">
        <v>2</v>
      </c>
      <c r="L28" s="1">
        <v>2</v>
      </c>
      <c r="M28" t="s">
        <v>201</v>
      </c>
      <c r="N28" t="s">
        <v>202</v>
      </c>
      <c r="O28" t="s">
        <v>204</v>
      </c>
      <c r="P28">
        <v>32.799999999999997</v>
      </c>
      <c r="R28" t="b">
        <v>1</v>
      </c>
      <c r="S28" t="b">
        <v>1</v>
      </c>
      <c r="T28" t="b">
        <v>1</v>
      </c>
      <c r="U28" t="b">
        <v>1</v>
      </c>
    </row>
    <row r="29" spans="1:21" x14ac:dyDescent="0.25">
      <c r="A29" t="s">
        <v>132</v>
      </c>
      <c r="B29" s="1" t="s">
        <v>205</v>
      </c>
      <c r="C29" t="s">
        <v>134</v>
      </c>
      <c r="D29" t="s">
        <v>206</v>
      </c>
      <c r="E29" t="s">
        <v>21</v>
      </c>
      <c r="F29">
        <v>0</v>
      </c>
      <c r="G29">
        <v>0</v>
      </c>
      <c r="M29" t="s">
        <v>207</v>
      </c>
      <c r="N29" t="s">
        <v>208</v>
      </c>
      <c r="O29" t="s">
        <v>17</v>
      </c>
      <c r="Q29" t="s">
        <v>138</v>
      </c>
    </row>
    <row r="30" spans="1:21" x14ac:dyDescent="0.25">
      <c r="A30" t="s">
        <v>132</v>
      </c>
      <c r="B30" s="1" t="s">
        <v>43</v>
      </c>
      <c r="C30" t="s">
        <v>134</v>
      </c>
      <c r="D30" s="1" t="s">
        <v>43</v>
      </c>
      <c r="E30" s="1" t="s">
        <v>43</v>
      </c>
      <c r="F30" s="1">
        <v>2</v>
      </c>
      <c r="G30" s="1">
        <v>2</v>
      </c>
      <c r="H30" s="1" t="s">
        <v>44</v>
      </c>
      <c r="I30" s="1" t="s">
        <v>209</v>
      </c>
      <c r="J30" s="1" t="s">
        <v>44</v>
      </c>
      <c r="K30" s="1">
        <v>2</v>
      </c>
      <c r="L30" s="1">
        <v>2</v>
      </c>
      <c r="M30" t="s">
        <v>99</v>
      </c>
      <c r="N30" t="s">
        <v>210</v>
      </c>
      <c r="O30" t="s">
        <v>211</v>
      </c>
      <c r="P30">
        <v>15.9</v>
      </c>
    </row>
    <row r="31" spans="1:21" x14ac:dyDescent="0.25">
      <c r="A31" t="s">
        <v>132</v>
      </c>
      <c r="B31" s="1" t="s">
        <v>212</v>
      </c>
      <c r="C31" t="s">
        <v>139</v>
      </c>
      <c r="D31" t="s">
        <v>21</v>
      </c>
      <c r="E31" s="5" t="s">
        <v>213</v>
      </c>
      <c r="F31">
        <v>0</v>
      </c>
      <c r="G31" s="5">
        <v>-2</v>
      </c>
      <c r="H31" s="5" t="s">
        <v>214</v>
      </c>
      <c r="I31" t="s">
        <v>21</v>
      </c>
      <c r="J31" s="5" t="s">
        <v>215</v>
      </c>
      <c r="K31">
        <v>0</v>
      </c>
      <c r="L31" s="5">
        <v>-2</v>
      </c>
      <c r="M31" t="s">
        <v>17</v>
      </c>
      <c r="N31" t="s">
        <v>17</v>
      </c>
      <c r="O31" t="s">
        <v>112</v>
      </c>
      <c r="P31">
        <v>7.8</v>
      </c>
      <c r="Q31" t="s">
        <v>415</v>
      </c>
    </row>
    <row r="32" spans="1:21" x14ac:dyDescent="0.25">
      <c r="A32" t="s">
        <v>132</v>
      </c>
      <c r="B32" s="1" t="s">
        <v>216</v>
      </c>
      <c r="C32" t="s">
        <v>134</v>
      </c>
      <c r="D32" t="s">
        <v>21</v>
      </c>
      <c r="E32" s="5" t="s">
        <v>217</v>
      </c>
      <c r="F32">
        <v>0</v>
      </c>
      <c r="G32" s="5">
        <v>-2</v>
      </c>
      <c r="H32" s="5" t="s">
        <v>218</v>
      </c>
      <c r="I32" t="s">
        <v>21</v>
      </c>
      <c r="J32" s="5" t="s">
        <v>219</v>
      </c>
      <c r="K32">
        <v>0</v>
      </c>
      <c r="L32" s="5">
        <v>-2</v>
      </c>
      <c r="M32" t="s">
        <v>17</v>
      </c>
      <c r="N32" t="s">
        <v>17</v>
      </c>
      <c r="O32" t="s">
        <v>220</v>
      </c>
      <c r="P32">
        <v>2.4</v>
      </c>
      <c r="Q32" t="s">
        <v>415</v>
      </c>
    </row>
    <row r="33" spans="1:21" x14ac:dyDescent="0.25">
      <c r="H33" s="5" t="s">
        <v>221</v>
      </c>
      <c r="I33" t="s">
        <v>21</v>
      </c>
      <c r="J33" s="5" t="s">
        <v>222</v>
      </c>
      <c r="K33">
        <v>0</v>
      </c>
      <c r="L33" s="5">
        <v>-2</v>
      </c>
      <c r="M33" t="s">
        <v>17</v>
      </c>
      <c r="N33" t="s">
        <v>17</v>
      </c>
      <c r="O33" t="s">
        <v>220</v>
      </c>
      <c r="P33">
        <v>2.4</v>
      </c>
      <c r="Q33" t="s">
        <v>415</v>
      </c>
    </row>
    <row r="34" spans="1:21" x14ac:dyDescent="0.25">
      <c r="H34" s="5" t="s">
        <v>223</v>
      </c>
      <c r="I34" t="s">
        <v>21</v>
      </c>
      <c r="J34" s="5" t="s">
        <v>224</v>
      </c>
      <c r="K34">
        <v>0</v>
      </c>
      <c r="L34" s="5">
        <v>-2</v>
      </c>
      <c r="M34" t="s">
        <v>17</v>
      </c>
      <c r="N34" t="s">
        <v>17</v>
      </c>
      <c r="O34" t="s">
        <v>220</v>
      </c>
      <c r="P34">
        <v>2.4</v>
      </c>
      <c r="Q34" t="s">
        <v>415</v>
      </c>
    </row>
    <row r="35" spans="1:21" x14ac:dyDescent="0.25">
      <c r="A35" t="s">
        <v>132</v>
      </c>
      <c r="B35" s="9" t="s">
        <v>225</v>
      </c>
      <c r="C35" t="s">
        <v>134</v>
      </c>
      <c r="D35" s="5" t="s">
        <v>21</v>
      </c>
      <c r="E35" s="1" t="s">
        <v>225</v>
      </c>
      <c r="F35" s="5">
        <v>-1</v>
      </c>
      <c r="G35" s="1">
        <v>2</v>
      </c>
      <c r="H35" s="5" t="s">
        <v>226</v>
      </c>
      <c r="I35" t="s">
        <v>21</v>
      </c>
      <c r="J35" s="5" t="s">
        <v>227</v>
      </c>
      <c r="K35">
        <v>0</v>
      </c>
      <c r="L35" s="5">
        <v>-2</v>
      </c>
      <c r="M35" t="s">
        <v>17</v>
      </c>
      <c r="N35" t="s">
        <v>17</v>
      </c>
      <c r="O35" t="s">
        <v>228</v>
      </c>
      <c r="P35">
        <v>1</v>
      </c>
      <c r="Q35" t="s">
        <v>429</v>
      </c>
    </row>
    <row r="36" spans="1:21" x14ac:dyDescent="0.25">
      <c r="H36" s="5" t="s">
        <v>229</v>
      </c>
      <c r="I36" t="s">
        <v>21</v>
      </c>
      <c r="J36" s="5" t="s">
        <v>230</v>
      </c>
      <c r="K36">
        <v>0</v>
      </c>
      <c r="L36" s="5">
        <v>-2</v>
      </c>
      <c r="M36" t="s">
        <v>17</v>
      </c>
      <c r="N36" t="s">
        <v>17</v>
      </c>
      <c r="O36">
        <v>29.779900000000001</v>
      </c>
      <c r="P36">
        <v>3.4</v>
      </c>
      <c r="Q36" t="s">
        <v>429</v>
      </c>
    </row>
    <row r="37" spans="1:21" x14ac:dyDescent="0.25">
      <c r="A37" t="s">
        <v>132</v>
      </c>
      <c r="B37" s="1" t="s">
        <v>49</v>
      </c>
      <c r="C37" t="s">
        <v>134</v>
      </c>
      <c r="D37" s="1" t="s">
        <v>49</v>
      </c>
      <c r="E37" s="6" t="s">
        <v>49</v>
      </c>
      <c r="F37" s="1">
        <v>2</v>
      </c>
      <c r="G37" s="6">
        <v>1</v>
      </c>
      <c r="H37" s="1" t="s">
        <v>231</v>
      </c>
      <c r="I37" s="1" t="s">
        <v>231</v>
      </c>
      <c r="J37" s="6" t="s">
        <v>51</v>
      </c>
      <c r="K37" s="1">
        <v>2</v>
      </c>
      <c r="L37" s="6">
        <v>1</v>
      </c>
      <c r="M37" t="s">
        <v>232</v>
      </c>
      <c r="N37" t="s">
        <v>233</v>
      </c>
      <c r="O37" t="s">
        <v>430</v>
      </c>
      <c r="P37">
        <v>22.3</v>
      </c>
      <c r="Q37" t="s">
        <v>431</v>
      </c>
      <c r="S37" t="b">
        <v>1</v>
      </c>
      <c r="U37" t="b">
        <v>1</v>
      </c>
    </row>
    <row r="38" spans="1:21" x14ac:dyDescent="0.25">
      <c r="A38" t="s">
        <v>132</v>
      </c>
      <c r="B38" s="1" t="s">
        <v>49</v>
      </c>
      <c r="C38" t="s">
        <v>139</v>
      </c>
      <c r="D38" s="1" t="s">
        <v>49</v>
      </c>
      <c r="E38" s="1" t="s">
        <v>49</v>
      </c>
      <c r="F38" s="1">
        <v>2</v>
      </c>
      <c r="G38" s="1">
        <v>2</v>
      </c>
      <c r="H38" s="1" t="s">
        <v>231</v>
      </c>
      <c r="I38" s="1" t="s">
        <v>231</v>
      </c>
      <c r="J38" s="1" t="s">
        <v>51</v>
      </c>
      <c r="K38" s="1">
        <v>2</v>
      </c>
      <c r="L38" s="1">
        <v>2</v>
      </c>
      <c r="M38" t="s">
        <v>232</v>
      </c>
      <c r="N38" t="s">
        <v>234</v>
      </c>
      <c r="O38" t="s">
        <v>235</v>
      </c>
      <c r="P38">
        <v>45.7</v>
      </c>
      <c r="R38" t="b">
        <v>1</v>
      </c>
      <c r="T38" t="b">
        <v>1</v>
      </c>
    </row>
    <row r="39" spans="1:21" x14ac:dyDescent="0.25">
      <c r="A39" t="s">
        <v>132</v>
      </c>
      <c r="B39" s="1" t="s">
        <v>52</v>
      </c>
      <c r="C39" t="s">
        <v>134</v>
      </c>
      <c r="D39" s="1" t="s">
        <v>52</v>
      </c>
      <c r="E39" s="1" t="s">
        <v>52</v>
      </c>
      <c r="F39" s="1">
        <v>2</v>
      </c>
      <c r="G39" s="1">
        <v>2</v>
      </c>
      <c r="H39" s="1" t="s">
        <v>53</v>
      </c>
      <c r="I39" s="1" t="s">
        <v>53</v>
      </c>
      <c r="J39" s="1" t="s">
        <v>53</v>
      </c>
      <c r="K39" s="1">
        <v>2</v>
      </c>
      <c r="L39" s="1">
        <v>2</v>
      </c>
      <c r="M39" t="s">
        <v>236</v>
      </c>
      <c r="N39" t="s">
        <v>237</v>
      </c>
      <c r="O39" t="s">
        <v>238</v>
      </c>
      <c r="P39">
        <v>15.4</v>
      </c>
    </row>
    <row r="40" spans="1:21" x14ac:dyDescent="0.25">
      <c r="A40" t="s">
        <v>132</v>
      </c>
      <c r="B40" s="1" t="s">
        <v>52</v>
      </c>
      <c r="C40" t="s">
        <v>139</v>
      </c>
      <c r="D40" s="1" t="s">
        <v>52</v>
      </c>
      <c r="E40" s="1" t="s">
        <v>52</v>
      </c>
      <c r="F40" s="1">
        <v>2</v>
      </c>
      <c r="G40" s="1">
        <v>2</v>
      </c>
      <c r="H40" s="1" t="s">
        <v>53</v>
      </c>
      <c r="I40" s="1" t="s">
        <v>53</v>
      </c>
      <c r="J40" s="1" t="s">
        <v>239</v>
      </c>
      <c r="K40" s="1">
        <v>2</v>
      </c>
      <c r="L40" s="1">
        <v>2</v>
      </c>
      <c r="M40" t="s">
        <v>236</v>
      </c>
      <c r="N40" t="s">
        <v>237</v>
      </c>
      <c r="O40" t="s">
        <v>240</v>
      </c>
      <c r="P40">
        <v>30.9</v>
      </c>
      <c r="R40" t="b">
        <v>1</v>
      </c>
      <c r="S40" t="b">
        <v>1</v>
      </c>
      <c r="T40" t="b">
        <v>1</v>
      </c>
      <c r="U40" t="b">
        <v>1</v>
      </c>
    </row>
    <row r="41" spans="1:21" x14ac:dyDescent="0.25">
      <c r="A41" t="s">
        <v>132</v>
      </c>
      <c r="B41" s="1" t="s">
        <v>57</v>
      </c>
      <c r="C41" t="s">
        <v>134</v>
      </c>
      <c r="D41" s="1" t="s">
        <v>57</v>
      </c>
      <c r="E41" s="6" t="s">
        <v>57</v>
      </c>
      <c r="F41" s="1">
        <v>2</v>
      </c>
      <c r="G41" s="6">
        <v>1</v>
      </c>
      <c r="H41" s="1" t="s">
        <v>58</v>
      </c>
      <c r="I41" s="1" t="s">
        <v>58</v>
      </c>
      <c r="J41" s="1" t="s">
        <v>58</v>
      </c>
      <c r="K41" s="1">
        <v>2</v>
      </c>
      <c r="L41" s="1">
        <v>2</v>
      </c>
      <c r="M41" t="s">
        <v>241</v>
      </c>
      <c r="N41" t="s">
        <v>242</v>
      </c>
      <c r="O41" t="s">
        <v>243</v>
      </c>
      <c r="P41">
        <v>1.9</v>
      </c>
      <c r="S41" t="b">
        <v>1</v>
      </c>
    </row>
    <row r="42" spans="1:21" x14ac:dyDescent="0.25">
      <c r="H42" s="1" t="s">
        <v>244</v>
      </c>
      <c r="I42" s="5" t="s">
        <v>21</v>
      </c>
      <c r="J42" s="6" t="s">
        <v>245</v>
      </c>
      <c r="K42" s="5">
        <v>-1</v>
      </c>
      <c r="L42" s="6">
        <v>1</v>
      </c>
      <c r="M42" t="s">
        <v>241</v>
      </c>
      <c r="N42" t="s">
        <v>17</v>
      </c>
      <c r="O42" t="s">
        <v>432</v>
      </c>
      <c r="P42">
        <v>8.9</v>
      </c>
      <c r="Q42" t="s">
        <v>433</v>
      </c>
    </row>
    <row r="43" spans="1:21" x14ac:dyDescent="0.25">
      <c r="A43" t="s">
        <v>132</v>
      </c>
      <c r="B43" s="1" t="s">
        <v>57</v>
      </c>
      <c r="C43" t="s">
        <v>139</v>
      </c>
      <c r="D43" s="5" t="s">
        <v>21</v>
      </c>
      <c r="E43" s="1" t="s">
        <v>57</v>
      </c>
      <c r="F43" s="5">
        <v>-1</v>
      </c>
      <c r="G43" s="1">
        <v>2</v>
      </c>
      <c r="H43" s="1" t="s">
        <v>58</v>
      </c>
      <c r="I43" s="5" t="s">
        <v>21</v>
      </c>
      <c r="J43" s="1" t="s">
        <v>58</v>
      </c>
      <c r="K43" s="5">
        <v>-1</v>
      </c>
      <c r="L43" s="1">
        <v>2</v>
      </c>
      <c r="M43" t="s">
        <v>241</v>
      </c>
      <c r="N43" t="s">
        <v>17</v>
      </c>
      <c r="O43" t="s">
        <v>246</v>
      </c>
      <c r="P43">
        <v>3.4</v>
      </c>
      <c r="Q43" t="s">
        <v>434</v>
      </c>
      <c r="R43" t="b">
        <v>1</v>
      </c>
      <c r="T43" t="b">
        <v>1</v>
      </c>
      <c r="U43" t="b">
        <v>1</v>
      </c>
    </row>
    <row r="44" spans="1:21" x14ac:dyDescent="0.25">
      <c r="A44" t="s">
        <v>132</v>
      </c>
      <c r="B44" s="1" t="s">
        <v>127</v>
      </c>
      <c r="C44" t="s">
        <v>134</v>
      </c>
      <c r="D44" s="1" t="s">
        <v>127</v>
      </c>
      <c r="E44" s="1" t="s">
        <v>127</v>
      </c>
      <c r="F44" s="1">
        <v>2</v>
      </c>
      <c r="G44" s="1">
        <v>2</v>
      </c>
      <c r="H44" s="1" t="s">
        <v>128</v>
      </c>
      <c r="I44" s="1" t="s">
        <v>128</v>
      </c>
      <c r="J44" s="1" t="s">
        <v>129</v>
      </c>
      <c r="K44" s="1">
        <v>2</v>
      </c>
      <c r="L44" s="1">
        <v>2</v>
      </c>
      <c r="M44" t="s">
        <v>247</v>
      </c>
      <c r="N44" t="s">
        <v>248</v>
      </c>
      <c r="O44" t="s">
        <v>249</v>
      </c>
      <c r="P44">
        <v>32.6</v>
      </c>
    </row>
    <row r="45" spans="1:21" x14ac:dyDescent="0.25">
      <c r="H45" s="1" t="s">
        <v>250</v>
      </c>
      <c r="I45" s="1" t="s">
        <v>250</v>
      </c>
      <c r="J45" s="1" t="s">
        <v>250</v>
      </c>
      <c r="K45" s="1">
        <v>2</v>
      </c>
      <c r="L45" s="1">
        <v>2</v>
      </c>
      <c r="M45" t="s">
        <v>247</v>
      </c>
      <c r="N45" t="s">
        <v>248</v>
      </c>
      <c r="O45" t="s">
        <v>251</v>
      </c>
      <c r="P45">
        <v>2.7</v>
      </c>
    </row>
    <row r="46" spans="1:21" x14ac:dyDescent="0.25">
      <c r="A46" t="s">
        <v>132</v>
      </c>
      <c r="B46" s="1" t="s">
        <v>127</v>
      </c>
      <c r="C46" t="s">
        <v>139</v>
      </c>
      <c r="D46" s="1" t="s">
        <v>127</v>
      </c>
      <c r="E46" s="6" t="s">
        <v>127</v>
      </c>
      <c r="F46" s="1">
        <v>2</v>
      </c>
      <c r="G46" s="6">
        <v>1</v>
      </c>
      <c r="H46" s="1" t="s">
        <v>128</v>
      </c>
      <c r="I46" s="1" t="s">
        <v>252</v>
      </c>
      <c r="J46" s="6" t="s">
        <v>128</v>
      </c>
      <c r="K46" s="1">
        <v>2</v>
      </c>
      <c r="L46" s="6">
        <v>1</v>
      </c>
      <c r="M46" t="s">
        <v>247</v>
      </c>
      <c r="N46" t="s">
        <v>248</v>
      </c>
      <c r="O46" t="s">
        <v>253</v>
      </c>
      <c r="P46">
        <v>66.5</v>
      </c>
      <c r="Q46" t="s">
        <v>435</v>
      </c>
      <c r="R46" t="b">
        <v>1</v>
      </c>
      <c r="S46" t="b">
        <v>1</v>
      </c>
      <c r="T46" t="b">
        <v>1</v>
      </c>
      <c r="U46" t="b">
        <v>1</v>
      </c>
    </row>
    <row r="47" spans="1:21" x14ac:dyDescent="0.25">
      <c r="A47" t="s">
        <v>132</v>
      </c>
      <c r="B47" s="5" t="s">
        <v>106</v>
      </c>
      <c r="C47" t="s">
        <v>134</v>
      </c>
      <c r="D47" t="s">
        <v>21</v>
      </c>
      <c r="E47" s="5" t="s">
        <v>107</v>
      </c>
      <c r="F47">
        <v>0</v>
      </c>
      <c r="G47" s="5">
        <v>-2</v>
      </c>
      <c r="H47" s="5" t="s">
        <v>254</v>
      </c>
      <c r="I47" t="s">
        <v>21</v>
      </c>
      <c r="J47" s="5" t="s">
        <v>255</v>
      </c>
      <c r="K47">
        <v>0</v>
      </c>
      <c r="L47" s="5">
        <v>-2</v>
      </c>
      <c r="M47" t="s">
        <v>17</v>
      </c>
      <c r="N47" t="s">
        <v>17</v>
      </c>
      <c r="O47" t="s">
        <v>256</v>
      </c>
      <c r="P47">
        <v>6.3</v>
      </c>
      <c r="Q47" t="s">
        <v>415</v>
      </c>
    </row>
    <row r="48" spans="1:21" x14ac:dyDescent="0.25">
      <c r="H48" s="5" t="s">
        <v>257</v>
      </c>
      <c r="I48" t="s">
        <v>21</v>
      </c>
      <c r="J48" s="5" t="s">
        <v>258</v>
      </c>
      <c r="K48">
        <v>0</v>
      </c>
      <c r="L48" s="5">
        <v>-2</v>
      </c>
      <c r="M48" t="s">
        <v>17</v>
      </c>
      <c r="N48" t="s">
        <v>17</v>
      </c>
      <c r="O48" t="s">
        <v>256</v>
      </c>
      <c r="P48">
        <v>6.3</v>
      </c>
    </row>
    <row r="49" spans="1:21" x14ac:dyDescent="0.25">
      <c r="A49" t="s">
        <v>132</v>
      </c>
      <c r="B49" s="1" t="s">
        <v>259</v>
      </c>
      <c r="C49" t="s">
        <v>134</v>
      </c>
      <c r="D49" t="s">
        <v>260</v>
      </c>
      <c r="E49" t="s">
        <v>21</v>
      </c>
      <c r="F49">
        <v>0</v>
      </c>
      <c r="G49">
        <v>0</v>
      </c>
      <c r="M49" t="s">
        <v>241</v>
      </c>
      <c r="N49" t="s">
        <v>261</v>
      </c>
      <c r="O49" t="s">
        <v>17</v>
      </c>
      <c r="Q49" t="s">
        <v>138</v>
      </c>
    </row>
    <row r="50" spans="1:21" x14ac:dyDescent="0.25">
      <c r="A50" t="s">
        <v>132</v>
      </c>
      <c r="B50" s="5" t="s">
        <v>262</v>
      </c>
      <c r="C50" t="s">
        <v>134</v>
      </c>
      <c r="D50" t="s">
        <v>21</v>
      </c>
      <c r="E50" s="5" t="s">
        <v>263</v>
      </c>
      <c r="F50">
        <v>0</v>
      </c>
      <c r="G50" s="5">
        <v>-2</v>
      </c>
      <c r="H50" s="5" t="s">
        <v>264</v>
      </c>
      <c r="I50" t="s">
        <v>21</v>
      </c>
      <c r="J50" s="5" t="s">
        <v>265</v>
      </c>
      <c r="K50">
        <v>0</v>
      </c>
      <c r="L50" s="5">
        <v>-2</v>
      </c>
      <c r="M50" t="s">
        <v>17</v>
      </c>
      <c r="N50" t="s">
        <v>17</v>
      </c>
      <c r="O50" t="s">
        <v>266</v>
      </c>
      <c r="P50">
        <v>50</v>
      </c>
      <c r="Q50" t="s">
        <v>415</v>
      </c>
    </row>
    <row r="51" spans="1:21" x14ac:dyDescent="0.25">
      <c r="A51" t="s">
        <v>132</v>
      </c>
      <c r="B51" s="1" t="s">
        <v>267</v>
      </c>
      <c r="C51" t="s">
        <v>134</v>
      </c>
      <c r="D51" t="s">
        <v>109</v>
      </c>
      <c r="E51" t="s">
        <v>21</v>
      </c>
      <c r="F51">
        <v>0</v>
      </c>
      <c r="G51">
        <v>0</v>
      </c>
      <c r="M51" t="s">
        <v>153</v>
      </c>
      <c r="N51" t="s">
        <v>154</v>
      </c>
      <c r="O51" t="s">
        <v>17</v>
      </c>
      <c r="Q51" t="s">
        <v>138</v>
      </c>
    </row>
    <row r="52" spans="1:21" x14ac:dyDescent="0.25">
      <c r="A52" t="s">
        <v>132</v>
      </c>
      <c r="B52" s="1" t="s">
        <v>267</v>
      </c>
      <c r="C52" t="s">
        <v>139</v>
      </c>
      <c r="D52" t="s">
        <v>109</v>
      </c>
      <c r="E52" t="s">
        <v>21</v>
      </c>
      <c r="F52">
        <v>0</v>
      </c>
      <c r="G52">
        <v>0</v>
      </c>
      <c r="M52" t="s">
        <v>153</v>
      </c>
      <c r="N52" t="s">
        <v>268</v>
      </c>
      <c r="O52" t="s">
        <v>17</v>
      </c>
      <c r="Q52" t="s">
        <v>138</v>
      </c>
      <c r="R52" t="b">
        <v>1</v>
      </c>
      <c r="S52" t="b">
        <v>1</v>
      </c>
    </row>
    <row r="53" spans="1:21" x14ac:dyDescent="0.25">
      <c r="A53" t="s">
        <v>132</v>
      </c>
      <c r="B53" s="1" t="s">
        <v>269</v>
      </c>
      <c r="C53" t="s">
        <v>134</v>
      </c>
      <c r="D53" t="s">
        <v>270</v>
      </c>
      <c r="E53" s="5" t="s">
        <v>270</v>
      </c>
      <c r="F53">
        <v>0</v>
      </c>
      <c r="G53" s="5">
        <v>-2</v>
      </c>
      <c r="H53" s="5" t="s">
        <v>271</v>
      </c>
      <c r="I53" t="s">
        <v>21</v>
      </c>
      <c r="J53" s="5" t="s">
        <v>272</v>
      </c>
      <c r="K53">
        <v>0</v>
      </c>
      <c r="L53" s="5">
        <v>-2</v>
      </c>
      <c r="M53" t="s">
        <v>17</v>
      </c>
      <c r="N53" t="s">
        <v>17</v>
      </c>
      <c r="O53">
        <v>26.23593</v>
      </c>
      <c r="P53">
        <v>18.100000000000001</v>
      </c>
      <c r="Q53" t="s">
        <v>436</v>
      </c>
    </row>
    <row r="54" spans="1:21" x14ac:dyDescent="0.25">
      <c r="A54" t="s">
        <v>132</v>
      </c>
      <c r="B54" s="1" t="s">
        <v>269</v>
      </c>
      <c r="C54" t="s">
        <v>139</v>
      </c>
      <c r="D54" t="s">
        <v>270</v>
      </c>
      <c r="E54" t="s">
        <v>21</v>
      </c>
      <c r="F54">
        <v>0</v>
      </c>
      <c r="G54">
        <v>0</v>
      </c>
      <c r="M54" t="s">
        <v>103</v>
      </c>
      <c r="N54" t="s">
        <v>273</v>
      </c>
      <c r="O54" t="s">
        <v>17</v>
      </c>
      <c r="Q54" t="s">
        <v>138</v>
      </c>
      <c r="R54" t="b">
        <v>1</v>
      </c>
      <c r="S54" t="b">
        <v>1</v>
      </c>
    </row>
    <row r="55" spans="1:21" x14ac:dyDescent="0.25">
      <c r="A55" t="s">
        <v>132</v>
      </c>
      <c r="B55" s="1" t="s">
        <v>61</v>
      </c>
      <c r="C55" t="s">
        <v>134</v>
      </c>
      <c r="D55" s="1" t="s">
        <v>61</v>
      </c>
      <c r="E55" s="1" t="s">
        <v>61</v>
      </c>
      <c r="F55" s="1">
        <v>2</v>
      </c>
      <c r="G55" s="1">
        <v>2</v>
      </c>
      <c r="H55" s="1" t="s">
        <v>62</v>
      </c>
      <c r="I55" s="1" t="s">
        <v>274</v>
      </c>
      <c r="J55" s="1" t="s">
        <v>63</v>
      </c>
      <c r="K55" s="1">
        <v>2</v>
      </c>
      <c r="L55" s="1">
        <v>2</v>
      </c>
      <c r="M55" t="s">
        <v>170</v>
      </c>
      <c r="N55" t="s">
        <v>171</v>
      </c>
      <c r="O55" t="s">
        <v>275</v>
      </c>
      <c r="P55">
        <v>39.6</v>
      </c>
    </row>
    <row r="56" spans="1:21" x14ac:dyDescent="0.25">
      <c r="H56" s="1" t="s">
        <v>276</v>
      </c>
      <c r="I56" s="5" t="s">
        <v>21</v>
      </c>
      <c r="J56" s="1" t="s">
        <v>276</v>
      </c>
      <c r="K56" s="5">
        <v>-1</v>
      </c>
      <c r="L56" s="1">
        <v>2</v>
      </c>
      <c r="M56" t="s">
        <v>170</v>
      </c>
      <c r="N56" t="s">
        <v>17</v>
      </c>
      <c r="O56" t="s">
        <v>277</v>
      </c>
      <c r="P56">
        <v>0.4</v>
      </c>
      <c r="Q56" t="s">
        <v>437</v>
      </c>
    </row>
    <row r="57" spans="1:21" x14ac:dyDescent="0.25">
      <c r="H57" s="5" t="s">
        <v>278</v>
      </c>
      <c r="I57" t="s">
        <v>21</v>
      </c>
      <c r="J57" s="5" t="s">
        <v>279</v>
      </c>
      <c r="K57">
        <v>0</v>
      </c>
      <c r="L57" s="5">
        <v>-2</v>
      </c>
      <c r="M57" t="s">
        <v>17</v>
      </c>
      <c r="N57" t="s">
        <v>17</v>
      </c>
      <c r="O57" t="s">
        <v>280</v>
      </c>
      <c r="P57">
        <v>0.4</v>
      </c>
      <c r="Q57" t="s">
        <v>438</v>
      </c>
    </row>
    <row r="58" spans="1:21" x14ac:dyDescent="0.25">
      <c r="A58" t="s">
        <v>132</v>
      </c>
      <c r="B58" s="1" t="s">
        <v>61</v>
      </c>
      <c r="C58" t="s">
        <v>139</v>
      </c>
      <c r="D58" s="5" t="s">
        <v>21</v>
      </c>
      <c r="E58" s="1" t="s">
        <v>61</v>
      </c>
      <c r="F58" s="5">
        <v>-1</v>
      </c>
      <c r="G58" s="1">
        <v>2</v>
      </c>
      <c r="H58" s="1" t="s">
        <v>62</v>
      </c>
      <c r="I58" s="5" t="s">
        <v>21</v>
      </c>
      <c r="J58" s="1" t="s">
        <v>63</v>
      </c>
      <c r="K58" s="5">
        <v>-1</v>
      </c>
      <c r="L58" s="1">
        <v>2</v>
      </c>
      <c r="M58" t="s">
        <v>170</v>
      </c>
      <c r="N58" t="s">
        <v>17</v>
      </c>
      <c r="O58" t="s">
        <v>439</v>
      </c>
      <c r="P58">
        <v>92.5</v>
      </c>
      <c r="Q58" t="s">
        <v>440</v>
      </c>
      <c r="R58" t="b">
        <v>1</v>
      </c>
      <c r="S58" t="b">
        <v>1</v>
      </c>
      <c r="T58" t="b">
        <v>1</v>
      </c>
      <c r="U58" t="b">
        <v>1</v>
      </c>
    </row>
    <row r="59" spans="1:21" x14ac:dyDescent="0.25">
      <c r="A59" t="s">
        <v>132</v>
      </c>
      <c r="B59" s="1" t="s">
        <v>281</v>
      </c>
      <c r="C59" t="s">
        <v>134</v>
      </c>
      <c r="D59" s="1" t="s">
        <v>281</v>
      </c>
      <c r="E59" s="1" t="s">
        <v>281</v>
      </c>
      <c r="F59" s="1">
        <v>2</v>
      </c>
      <c r="G59" s="1">
        <v>2</v>
      </c>
      <c r="H59" s="1" t="s">
        <v>282</v>
      </c>
      <c r="I59" s="1" t="s">
        <v>283</v>
      </c>
      <c r="J59" s="1" t="s">
        <v>282</v>
      </c>
      <c r="K59" s="1">
        <v>2</v>
      </c>
      <c r="L59" s="1">
        <v>2</v>
      </c>
      <c r="M59" t="s">
        <v>201</v>
      </c>
      <c r="N59" t="s">
        <v>284</v>
      </c>
      <c r="O59" t="s">
        <v>285</v>
      </c>
      <c r="P59">
        <v>5.5</v>
      </c>
    </row>
    <row r="60" spans="1:21" x14ac:dyDescent="0.25">
      <c r="A60" t="s">
        <v>132</v>
      </c>
      <c r="B60" s="1" t="s">
        <v>286</v>
      </c>
      <c r="C60" t="s">
        <v>139</v>
      </c>
      <c r="D60" t="s">
        <v>281</v>
      </c>
      <c r="E60" t="s">
        <v>21</v>
      </c>
      <c r="F60">
        <v>0</v>
      </c>
      <c r="G60">
        <v>0</v>
      </c>
      <c r="M60" t="s">
        <v>201</v>
      </c>
      <c r="N60" t="s">
        <v>287</v>
      </c>
      <c r="O60" t="s">
        <v>17</v>
      </c>
      <c r="Q60" t="s">
        <v>138</v>
      </c>
      <c r="R60" t="b">
        <v>1</v>
      </c>
      <c r="S60" t="b">
        <v>1</v>
      </c>
    </row>
    <row r="61" spans="1:21" x14ac:dyDescent="0.25">
      <c r="A61" t="s">
        <v>132</v>
      </c>
      <c r="B61" s="1" t="s">
        <v>288</v>
      </c>
      <c r="C61" t="s">
        <v>134</v>
      </c>
      <c r="D61" t="s">
        <v>289</v>
      </c>
      <c r="E61" t="s">
        <v>21</v>
      </c>
      <c r="F61">
        <v>0</v>
      </c>
      <c r="G61">
        <v>0</v>
      </c>
      <c r="M61" t="s">
        <v>54</v>
      </c>
      <c r="N61" t="s">
        <v>167</v>
      </c>
      <c r="O61" t="s">
        <v>17</v>
      </c>
      <c r="Q61" t="s">
        <v>138</v>
      </c>
    </row>
    <row r="62" spans="1:21" x14ac:dyDescent="0.25">
      <c r="A62" t="s">
        <v>132</v>
      </c>
      <c r="B62" s="1" t="s">
        <v>288</v>
      </c>
      <c r="C62" t="s">
        <v>139</v>
      </c>
      <c r="D62" t="s">
        <v>289</v>
      </c>
      <c r="E62" t="s">
        <v>21</v>
      </c>
      <c r="F62">
        <v>0</v>
      </c>
      <c r="G62">
        <v>0</v>
      </c>
      <c r="M62" t="s">
        <v>54</v>
      </c>
      <c r="N62" t="s">
        <v>290</v>
      </c>
      <c r="O62" t="s">
        <v>17</v>
      </c>
      <c r="Q62" t="s">
        <v>138</v>
      </c>
      <c r="R62" t="b">
        <v>1</v>
      </c>
      <c r="S62" t="b">
        <v>1</v>
      </c>
    </row>
    <row r="63" spans="1:21" x14ac:dyDescent="0.25">
      <c r="A63" t="s">
        <v>132</v>
      </c>
      <c r="B63" s="1" t="s">
        <v>291</v>
      </c>
      <c r="C63" t="s">
        <v>134</v>
      </c>
      <c r="D63" s="5" t="s">
        <v>21</v>
      </c>
      <c r="E63" s="1" t="s">
        <v>291</v>
      </c>
      <c r="F63" s="5">
        <v>-1</v>
      </c>
      <c r="G63" s="1">
        <v>2</v>
      </c>
      <c r="H63" s="1" t="s">
        <v>292</v>
      </c>
      <c r="I63" s="5" t="s">
        <v>21</v>
      </c>
      <c r="J63" s="1" t="s">
        <v>293</v>
      </c>
      <c r="K63" s="5">
        <v>-1</v>
      </c>
      <c r="L63" s="1">
        <v>2</v>
      </c>
      <c r="M63" t="s">
        <v>45</v>
      </c>
      <c r="N63" t="s">
        <v>17</v>
      </c>
      <c r="O63" t="s">
        <v>294</v>
      </c>
      <c r="P63">
        <v>16.7</v>
      </c>
      <c r="Q63" t="s">
        <v>441</v>
      </c>
    </row>
    <row r="64" spans="1:21" x14ac:dyDescent="0.25">
      <c r="A64" t="s">
        <v>132</v>
      </c>
      <c r="B64" s="1" t="s">
        <v>295</v>
      </c>
      <c r="C64" t="s">
        <v>134</v>
      </c>
      <c r="D64" t="s">
        <v>296</v>
      </c>
      <c r="E64" t="s">
        <v>21</v>
      </c>
      <c r="F64">
        <v>0</v>
      </c>
      <c r="G64">
        <v>0</v>
      </c>
      <c r="M64" t="s">
        <v>297</v>
      </c>
      <c r="N64" t="s">
        <v>298</v>
      </c>
      <c r="O64" t="s">
        <v>17</v>
      </c>
      <c r="Q64" t="s">
        <v>138</v>
      </c>
    </row>
    <row r="65" spans="1:19" x14ac:dyDescent="0.25">
      <c r="A65" t="s">
        <v>132</v>
      </c>
      <c r="B65" s="5" t="s">
        <v>299</v>
      </c>
      <c r="C65" t="s">
        <v>139</v>
      </c>
      <c r="D65" t="s">
        <v>21</v>
      </c>
      <c r="E65" s="5" t="s">
        <v>300</v>
      </c>
      <c r="F65">
        <v>0</v>
      </c>
      <c r="G65" s="5">
        <v>-2</v>
      </c>
      <c r="H65" s="5" t="s">
        <v>301</v>
      </c>
      <c r="I65" t="s">
        <v>21</v>
      </c>
      <c r="J65" s="5" t="s">
        <v>302</v>
      </c>
      <c r="K65">
        <v>0</v>
      </c>
      <c r="L65" s="5">
        <v>-2</v>
      </c>
      <c r="M65" t="s">
        <v>17</v>
      </c>
      <c r="N65" t="s">
        <v>17</v>
      </c>
      <c r="O65" t="s">
        <v>303</v>
      </c>
      <c r="P65">
        <v>56.6</v>
      </c>
      <c r="Q65" t="s">
        <v>415</v>
      </c>
    </row>
    <row r="66" spans="1:19" x14ac:dyDescent="0.25">
      <c r="A66" t="s">
        <v>132</v>
      </c>
      <c r="B66" s="1" t="s">
        <v>304</v>
      </c>
      <c r="C66" t="s">
        <v>139</v>
      </c>
      <c r="D66" t="s">
        <v>305</v>
      </c>
      <c r="E66" t="s">
        <v>21</v>
      </c>
      <c r="F66">
        <v>0</v>
      </c>
      <c r="G66">
        <v>0</v>
      </c>
      <c r="M66" t="s">
        <v>156</v>
      </c>
      <c r="N66" t="s">
        <v>306</v>
      </c>
      <c r="O66" t="s">
        <v>17</v>
      </c>
      <c r="Q66" t="s">
        <v>138</v>
      </c>
    </row>
    <row r="67" spans="1:19" x14ac:dyDescent="0.25">
      <c r="A67" t="s">
        <v>132</v>
      </c>
      <c r="B67" s="1" t="s">
        <v>307</v>
      </c>
      <c r="C67" t="s">
        <v>139</v>
      </c>
      <c r="D67" t="s">
        <v>308</v>
      </c>
      <c r="E67" t="s">
        <v>21</v>
      </c>
      <c r="F67">
        <v>0</v>
      </c>
      <c r="G67">
        <v>0</v>
      </c>
      <c r="M67" t="s">
        <v>130</v>
      </c>
      <c r="N67" t="s">
        <v>150</v>
      </c>
      <c r="O67" t="s">
        <v>17</v>
      </c>
      <c r="Q67" t="s">
        <v>138</v>
      </c>
    </row>
    <row r="68" spans="1:19" x14ac:dyDescent="0.25">
      <c r="A68" t="s">
        <v>132</v>
      </c>
      <c r="B68" s="1" t="s">
        <v>309</v>
      </c>
      <c r="C68" t="s">
        <v>134</v>
      </c>
      <c r="D68" t="s">
        <v>310</v>
      </c>
      <c r="E68" t="s">
        <v>21</v>
      </c>
      <c r="F68">
        <v>0</v>
      </c>
      <c r="G68">
        <v>0</v>
      </c>
      <c r="M68" t="s">
        <v>64</v>
      </c>
      <c r="N68" t="s">
        <v>311</v>
      </c>
      <c r="O68" t="s">
        <v>17</v>
      </c>
      <c r="Q68" t="s">
        <v>138</v>
      </c>
    </row>
    <row r="69" spans="1:19" x14ac:dyDescent="0.25">
      <c r="A69" t="s">
        <v>132</v>
      </c>
      <c r="B69" s="1" t="s">
        <v>309</v>
      </c>
      <c r="C69" t="s">
        <v>139</v>
      </c>
      <c r="D69" t="s">
        <v>310</v>
      </c>
      <c r="E69" t="s">
        <v>21</v>
      </c>
      <c r="F69">
        <v>0</v>
      </c>
      <c r="G69">
        <v>0</v>
      </c>
      <c r="M69" t="s">
        <v>64</v>
      </c>
      <c r="N69" t="s">
        <v>311</v>
      </c>
      <c r="O69" t="s">
        <v>17</v>
      </c>
      <c r="Q69" t="s">
        <v>138</v>
      </c>
      <c r="R69" t="b">
        <v>1</v>
      </c>
      <c r="S69" t="b">
        <v>1</v>
      </c>
    </row>
    <row r="70" spans="1:19" x14ac:dyDescent="0.25">
      <c r="A70" t="s">
        <v>132</v>
      </c>
      <c r="B70" s="5" t="s">
        <v>312</v>
      </c>
      <c r="C70" t="s">
        <v>139</v>
      </c>
      <c r="D70" t="s">
        <v>21</v>
      </c>
      <c r="E70" s="5" t="s">
        <v>313</v>
      </c>
      <c r="F70">
        <v>0</v>
      </c>
      <c r="G70" s="5">
        <v>-2</v>
      </c>
      <c r="H70" s="5" t="s">
        <v>314</v>
      </c>
      <c r="I70" t="s">
        <v>21</v>
      </c>
      <c r="J70" s="5" t="s">
        <v>315</v>
      </c>
      <c r="K70">
        <v>0</v>
      </c>
      <c r="L70" s="5">
        <v>-2</v>
      </c>
      <c r="M70" t="s">
        <v>17</v>
      </c>
      <c r="N70" t="s">
        <v>17</v>
      </c>
      <c r="O70" t="s">
        <v>316</v>
      </c>
      <c r="P70">
        <v>100</v>
      </c>
      <c r="Q70" t="s">
        <v>415</v>
      </c>
    </row>
    <row r="73" spans="1:19" ht="15.75" x14ac:dyDescent="0.25">
      <c r="A73" s="3" t="s">
        <v>67</v>
      </c>
      <c r="H73" s="3" t="s">
        <v>68</v>
      </c>
    </row>
    <row r="74" spans="1:19" x14ac:dyDescent="0.25">
      <c r="A74" s="4" t="s">
        <v>69</v>
      </c>
      <c r="F74">
        <f>COUNTIFS(B2:B70,"&lt;&gt;*_*",B2:B70,"&lt;&gt;")</f>
        <v>27</v>
      </c>
      <c r="H74" s="4" t="s">
        <v>69</v>
      </c>
      <c r="K74">
        <f>COUNTIFS(B2:B70,"&lt;&gt;*_*",B2:B70,"&lt;&gt;",R2:R70,"&lt;&gt;TRUE")</f>
        <v>16</v>
      </c>
    </row>
    <row r="75" spans="1:19" x14ac:dyDescent="0.25">
      <c r="A75" s="4" t="s">
        <v>70</v>
      </c>
      <c r="F75">
        <f>COUNTIFS(F2:F70,"&gt;0")</f>
        <v>23</v>
      </c>
      <c r="H75" s="4" t="s">
        <v>70</v>
      </c>
      <c r="K75">
        <f>COUNTIFS(F2:F70,"&gt;0",R2:R70,"&lt;&gt;TRUE")</f>
        <v>14</v>
      </c>
    </row>
    <row r="76" spans="1:19" x14ac:dyDescent="0.25">
      <c r="A76" s="4" t="s">
        <v>71</v>
      </c>
      <c r="F76">
        <f>COUNTIFS(G2:G70,"&gt;0")</f>
        <v>25</v>
      </c>
      <c r="H76" s="4" t="s">
        <v>71</v>
      </c>
      <c r="K76">
        <f>COUNTIFS(G2:G70,"&gt;0",S2:S70,"&lt;&gt;TRUE")</f>
        <v>15</v>
      </c>
    </row>
    <row r="77" spans="1:19" x14ac:dyDescent="0.25">
      <c r="A77" s="4" t="s">
        <v>72</v>
      </c>
      <c r="F77">
        <f>COUNTIFS(F2:F70,"&lt;&gt;-1",F2:F70,"&lt;&gt;0",F2:F70,"&lt;2")</f>
        <v>0</v>
      </c>
      <c r="H77" s="4" t="s">
        <v>72</v>
      </c>
      <c r="K77">
        <f>COUNTIFS(F2:F70,"&lt;&gt;-1",F2:F70,"&lt;&gt;0",F2:F70,"&lt;2",R2:R70,"&lt;&gt;TRUE")</f>
        <v>0</v>
      </c>
    </row>
    <row r="78" spans="1:19" x14ac:dyDescent="0.25">
      <c r="A78" s="4" t="s">
        <v>73</v>
      </c>
      <c r="F78">
        <f>COUNTIFS(G2:G70,"&lt;&gt;-1",G2:G70,"&lt;&gt;0",G2:G70,"&lt;2")</f>
        <v>13</v>
      </c>
      <c r="H78" s="4" t="s">
        <v>73</v>
      </c>
      <c r="K78">
        <f>COUNTIFS(G2:G70,"&lt;&gt;-1",G2:G70,"&lt;&gt;0",G2:G70,"&lt;2",S2:S70,"&lt;&gt;TRUE")</f>
        <v>9</v>
      </c>
    </row>
    <row r="79" spans="1:19" x14ac:dyDescent="0.25">
      <c r="A79" s="4" t="s">
        <v>74</v>
      </c>
      <c r="F79">
        <f>COUNTIFS(F2:F70,"=-1")+COUNTIFS(F2:F70,"=-3")</f>
        <v>4</v>
      </c>
      <c r="H79" s="4" t="s">
        <v>74</v>
      </c>
      <c r="K79">
        <f>COUNTIFS(F2:F70,"=-1",R2:R70,"&lt;&gt;TRUE")+COUNTIFS(F2:F70,"=-3",R2:R70,"&lt;&gt;TRUE")</f>
        <v>2</v>
      </c>
    </row>
    <row r="80" spans="1:19" x14ac:dyDescent="0.25">
      <c r="A80" s="4" t="s">
        <v>75</v>
      </c>
      <c r="F80">
        <f>COUNTIFS(G2:G70,"=-1")+COUNTIFS(G2:G70,"=-3")</f>
        <v>2</v>
      </c>
      <c r="H80" s="4" t="s">
        <v>75</v>
      </c>
      <c r="K80">
        <f>COUNTIFS(G2:G70,"=-1",S2:S70,"&lt;&gt;TRUE")+COUNTIFS(G2:G70,"=-3",S2:S70,"&lt;&gt;TRUE")</f>
        <v>1</v>
      </c>
    </row>
    <row r="81" spans="1:11" x14ac:dyDescent="0.25">
      <c r="A81" s="4" t="s">
        <v>76</v>
      </c>
      <c r="F81" s="8">
        <f>F75/F74</f>
        <v>0.85185185185185186</v>
      </c>
      <c r="H81" s="4" t="s">
        <v>76</v>
      </c>
      <c r="K81" s="8">
        <f>K75/K74</f>
        <v>0.875</v>
      </c>
    </row>
    <row r="82" spans="1:11" x14ac:dyDescent="0.25">
      <c r="A82" s="4" t="s">
        <v>77</v>
      </c>
      <c r="F82" s="8">
        <f>F76/F74</f>
        <v>0.92592592592592593</v>
      </c>
      <c r="H82" s="4" t="s">
        <v>78</v>
      </c>
      <c r="K82" s="8">
        <f>K76/K74</f>
        <v>0.9375</v>
      </c>
    </row>
    <row r="83" spans="1:11" x14ac:dyDescent="0.25">
      <c r="A83" s="4" t="s">
        <v>79</v>
      </c>
      <c r="F83" s="8">
        <f>F75/(F75+F77)</f>
        <v>1</v>
      </c>
      <c r="H83" s="4" t="s">
        <v>79</v>
      </c>
      <c r="K83" s="8">
        <f>K75/(K75+K77)</f>
        <v>1</v>
      </c>
    </row>
    <row r="84" spans="1:11" x14ac:dyDescent="0.25">
      <c r="A84" s="4" t="s">
        <v>80</v>
      </c>
      <c r="F84" s="8">
        <f>F76/(F76+F78)</f>
        <v>0.65789473684210531</v>
      </c>
      <c r="H84" s="4" t="s">
        <v>80</v>
      </c>
      <c r="K84" s="8">
        <f>K76/(K76+K78)</f>
        <v>0.625</v>
      </c>
    </row>
    <row r="87" spans="1:11" ht="15.75" x14ac:dyDescent="0.25">
      <c r="A87" s="3" t="s">
        <v>81</v>
      </c>
      <c r="H87" s="3" t="s">
        <v>82</v>
      </c>
    </row>
    <row r="88" spans="1:11" x14ac:dyDescent="0.25">
      <c r="A88" s="4" t="s">
        <v>69</v>
      </c>
      <c r="F88">
        <f>COUNTIFS(H2:H70,"&lt;&gt;*_FP",H2:H70,"&lt;&gt;",H2:H70,"&lt;&gt;no structure")</f>
        <v>32</v>
      </c>
      <c r="H88" s="4" t="s">
        <v>69</v>
      </c>
      <c r="K88">
        <f>COUNTIFS(H2:H70,"&lt;&gt;*_FP",H2:H70,"&lt;&gt;",H2:H70,"&lt;&gt;no structure",T2:T70,"&lt;&gt;TRUE")</f>
        <v>20</v>
      </c>
    </row>
    <row r="89" spans="1:11" x14ac:dyDescent="0.25">
      <c r="A89" s="4" t="s">
        <v>70</v>
      </c>
      <c r="F89">
        <f>COUNTIFS(K2:K70,"&gt;0")</f>
        <v>27</v>
      </c>
      <c r="H89" s="4" t="s">
        <v>70</v>
      </c>
      <c r="K89">
        <f>COUNTIFS(K2:K70,"&gt;0",T2:T70,"&lt;&gt;TRUE")</f>
        <v>17</v>
      </c>
    </row>
    <row r="90" spans="1:11" x14ac:dyDescent="0.25">
      <c r="A90" s="4" t="s">
        <v>71</v>
      </c>
      <c r="F90">
        <f>COUNTIFS(L2:L70,"&gt;0")</f>
        <v>28</v>
      </c>
      <c r="H90" s="4" t="s">
        <v>71</v>
      </c>
      <c r="K90">
        <f>COUNTIFS(L2:L70,"&gt;0",U2:U70,"&lt;&gt;TRUE")</f>
        <v>18</v>
      </c>
    </row>
    <row r="91" spans="1:11" x14ac:dyDescent="0.25">
      <c r="A91" s="4" t="s">
        <v>72</v>
      </c>
      <c r="F91">
        <f>COUNTIFS(K2:K70,"&lt;&gt;-1",K2:K70,"&lt;&gt;0",K2:K70,"&lt;2")</f>
        <v>0</v>
      </c>
      <c r="H91" s="4" t="s">
        <v>72</v>
      </c>
      <c r="K91">
        <f>COUNTIFS(K2:K70,"&lt;&gt;-1",K2:K70,"&lt;&gt;0",K2:K70,"&lt;2",T2:T70,"&lt;&gt;TRUE")</f>
        <v>0</v>
      </c>
    </row>
    <row r="92" spans="1:11" x14ac:dyDescent="0.25">
      <c r="A92" s="4" t="s">
        <v>73</v>
      </c>
      <c r="F92">
        <f>COUNTIFS(L2:L70,"&lt;&gt;-1",L2:L70,"&lt;&gt;0",L2:L70,"&lt;2")</f>
        <v>20</v>
      </c>
      <c r="H92" s="4" t="s">
        <v>73</v>
      </c>
      <c r="K92">
        <f>COUNTIFS(L2:L70,"&lt;&gt;-1",L2:L70,"&lt;&gt;0",L2:L70,"&lt;2",U2:U70,"&lt;&gt;TRUE")</f>
        <v>17</v>
      </c>
    </row>
    <row r="93" spans="1:11" x14ac:dyDescent="0.25">
      <c r="A93" s="4" t="s">
        <v>74</v>
      </c>
      <c r="F93">
        <f>COUNTIFS(K2:K70,"=-1")+COUNTIFS(K2:K70,"=-3")</f>
        <v>5</v>
      </c>
      <c r="H93" s="4" t="s">
        <v>74</v>
      </c>
      <c r="K93">
        <f>COUNTIFS(K2:K70,"=-1",T2:T70,"&lt;&gt;TRUE")+COUNTIFS(K2:K70,"=-3",T2:T70,"&lt;&gt;TRUE")</f>
        <v>3</v>
      </c>
    </row>
    <row r="94" spans="1:11" x14ac:dyDescent="0.25">
      <c r="A94" s="4" t="s">
        <v>75</v>
      </c>
      <c r="F94">
        <f>COUNTIFS(L2:L70,"=-1")+COUNTIFS(L2:L70,"=-3")</f>
        <v>4</v>
      </c>
      <c r="H94" s="4" t="s">
        <v>75</v>
      </c>
      <c r="K94">
        <f>COUNTIFS(L2:L70,"=-1",U2:U70,"&lt;&gt;TRUE")+COUNTIFS(L2:L70,"=-3",U2:U70,"&lt;&gt;TRUE")</f>
        <v>2</v>
      </c>
    </row>
    <row r="95" spans="1:11" x14ac:dyDescent="0.25">
      <c r="A95" s="4" t="s">
        <v>76</v>
      </c>
      <c r="F95" s="8">
        <f>F89/F88</f>
        <v>0.84375</v>
      </c>
      <c r="H95" s="4" t="s">
        <v>76</v>
      </c>
      <c r="K95" s="8">
        <f>K89/K88</f>
        <v>0.85</v>
      </c>
    </row>
    <row r="96" spans="1:11" x14ac:dyDescent="0.25">
      <c r="A96" s="4" t="s">
        <v>77</v>
      </c>
      <c r="F96" s="8">
        <f>F90/F88</f>
        <v>0.875</v>
      </c>
      <c r="H96" s="4" t="s">
        <v>78</v>
      </c>
      <c r="K96" s="8">
        <f>K90/K88</f>
        <v>0.9</v>
      </c>
    </row>
    <row r="97" spans="1:11" x14ac:dyDescent="0.25">
      <c r="A97" s="4" t="s">
        <v>79</v>
      </c>
      <c r="F97" s="8">
        <f>F89/(F89+F91)</f>
        <v>1</v>
      </c>
      <c r="H97" s="4" t="s">
        <v>79</v>
      </c>
      <c r="K97" s="8">
        <f>K89/(K89+K91)</f>
        <v>1</v>
      </c>
    </row>
    <row r="98" spans="1:11" x14ac:dyDescent="0.25">
      <c r="A98" s="4" t="s">
        <v>80</v>
      </c>
      <c r="F98" s="8">
        <f>F90/(F90+F92)</f>
        <v>0.58333333333333337</v>
      </c>
      <c r="H98" s="4" t="s">
        <v>80</v>
      </c>
      <c r="K98" s="8">
        <f>K90/(K90+K92)</f>
        <v>0.51428571428571423</v>
      </c>
    </row>
    <row r="101" spans="1:11" ht="15.75" x14ac:dyDescent="0.25">
      <c r="A101" s="3" t="s">
        <v>83</v>
      </c>
    </row>
    <row r="102" spans="1:11" x14ac:dyDescent="0.25">
      <c r="A102" s="1" t="s">
        <v>84</v>
      </c>
    </row>
    <row r="103" spans="1:11" x14ac:dyDescent="0.25">
      <c r="A103" s="5" t="s">
        <v>85</v>
      </c>
    </row>
    <row r="105" spans="1:11" x14ac:dyDescent="0.25">
      <c r="A105" s="1" t="s">
        <v>86</v>
      </c>
    </row>
    <row r="106" spans="1:11" x14ac:dyDescent="0.25">
      <c r="A106" s="6" t="s">
        <v>87</v>
      </c>
    </row>
    <row r="107" spans="1:11" x14ac:dyDescent="0.25">
      <c r="A107" s="7" t="s">
        <v>88</v>
      </c>
    </row>
    <row r="108" spans="1:11" x14ac:dyDescent="0.25">
      <c r="A108" s="5" t="s">
        <v>89</v>
      </c>
    </row>
    <row r="110" spans="1:11" x14ac:dyDescent="0.25">
      <c r="A110" s="4" t="s">
        <v>90</v>
      </c>
    </row>
    <row r="111" spans="1:11" x14ac:dyDescent="0.25">
      <c r="A111" t="s">
        <v>91</v>
      </c>
    </row>
    <row r="112" spans="1:11" x14ac:dyDescent="0.25">
      <c r="A112" t="s">
        <v>92</v>
      </c>
    </row>
    <row r="113" spans="1:1" x14ac:dyDescent="0.25">
      <c r="A113" t="s">
        <v>93</v>
      </c>
    </row>
    <row r="114" spans="1:1" x14ac:dyDescent="0.25">
      <c r="A114" t="s">
        <v>94</v>
      </c>
    </row>
    <row r="115" spans="1:1" x14ac:dyDescent="0.25">
      <c r="A115" t="s">
        <v>95</v>
      </c>
    </row>
    <row r="116" spans="1:1" x14ac:dyDescent="0.25">
      <c r="A116" t="s">
        <v>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topLeftCell="A31" workbookViewId="0">
      <selection activeCell="E17" sqref="E17"/>
    </sheetView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317</v>
      </c>
      <c r="B2" s="1" t="s">
        <v>318</v>
      </c>
      <c r="C2" t="s">
        <v>20</v>
      </c>
      <c r="D2" s="1" t="s">
        <v>318</v>
      </c>
      <c r="E2" s="5" t="s">
        <v>21</v>
      </c>
      <c r="F2" s="1">
        <v>2</v>
      </c>
      <c r="G2" s="5">
        <v>-1</v>
      </c>
      <c r="H2" s="1" t="s">
        <v>319</v>
      </c>
      <c r="I2" s="1" t="s">
        <v>319</v>
      </c>
      <c r="J2" s="5" t="s">
        <v>21</v>
      </c>
      <c r="K2" s="1">
        <v>2</v>
      </c>
      <c r="L2" s="5">
        <v>-1</v>
      </c>
      <c r="M2" t="s">
        <v>320</v>
      </c>
      <c r="N2" t="s">
        <v>321</v>
      </c>
      <c r="O2" t="s">
        <v>17</v>
      </c>
    </row>
    <row r="3" spans="1:21" x14ac:dyDescent="0.25">
      <c r="A3" t="s">
        <v>317</v>
      </c>
      <c r="B3" s="1" t="s">
        <v>151</v>
      </c>
      <c r="C3" t="s">
        <v>20</v>
      </c>
      <c r="D3" t="s">
        <v>152</v>
      </c>
      <c r="E3" t="s">
        <v>21</v>
      </c>
      <c r="F3">
        <v>0</v>
      </c>
      <c r="G3">
        <v>0</v>
      </c>
      <c r="M3" t="s">
        <v>232</v>
      </c>
      <c r="N3" t="s">
        <v>322</v>
      </c>
      <c r="O3" t="s">
        <v>17</v>
      </c>
      <c r="Q3" t="s">
        <v>138</v>
      </c>
    </row>
    <row r="4" spans="1:21" x14ac:dyDescent="0.25">
      <c r="A4" t="s">
        <v>317</v>
      </c>
      <c r="B4" s="1" t="s">
        <v>22</v>
      </c>
      <c r="C4" t="s">
        <v>20</v>
      </c>
      <c r="D4" s="1" t="s">
        <v>22</v>
      </c>
      <c r="E4" s="5" t="s">
        <v>21</v>
      </c>
      <c r="F4" s="1">
        <v>2</v>
      </c>
      <c r="G4" s="5">
        <v>-1</v>
      </c>
      <c r="H4" s="1" t="s">
        <v>155</v>
      </c>
      <c r="I4" s="1" t="s">
        <v>155</v>
      </c>
      <c r="J4" s="5" t="s">
        <v>21</v>
      </c>
      <c r="K4" s="1">
        <v>2</v>
      </c>
      <c r="L4" s="5">
        <v>-1</v>
      </c>
      <c r="M4" t="s">
        <v>136</v>
      </c>
      <c r="N4" t="s">
        <v>171</v>
      </c>
      <c r="O4" t="s">
        <v>17</v>
      </c>
    </row>
    <row r="5" spans="1:21" x14ac:dyDescent="0.25">
      <c r="A5" t="s">
        <v>317</v>
      </c>
      <c r="B5" s="1" t="s">
        <v>26</v>
      </c>
      <c r="C5" t="s">
        <v>20</v>
      </c>
      <c r="D5" s="1" t="s">
        <v>26</v>
      </c>
      <c r="E5" s="5" t="s">
        <v>21</v>
      </c>
      <c r="F5" s="1">
        <v>2</v>
      </c>
      <c r="G5" s="5">
        <v>-1</v>
      </c>
      <c r="H5" s="1" t="s">
        <v>27</v>
      </c>
      <c r="I5" s="1" t="s">
        <v>27</v>
      </c>
      <c r="J5" s="5" t="s">
        <v>21</v>
      </c>
      <c r="K5" s="1">
        <v>2</v>
      </c>
      <c r="L5" s="5">
        <v>-1</v>
      </c>
      <c r="M5" t="s">
        <v>323</v>
      </c>
      <c r="N5" t="s">
        <v>202</v>
      </c>
      <c r="O5" t="s">
        <v>17</v>
      </c>
    </row>
    <row r="6" spans="1:21" x14ac:dyDescent="0.25">
      <c r="A6" t="s">
        <v>317</v>
      </c>
      <c r="B6" s="1" t="s">
        <v>173</v>
      </c>
      <c r="C6" t="s">
        <v>20</v>
      </c>
      <c r="D6" t="s">
        <v>168</v>
      </c>
      <c r="E6" t="s">
        <v>21</v>
      </c>
      <c r="F6">
        <v>0</v>
      </c>
      <c r="G6">
        <v>0</v>
      </c>
      <c r="M6" t="s">
        <v>99</v>
      </c>
      <c r="N6" t="s">
        <v>147</v>
      </c>
      <c r="O6" t="s">
        <v>17</v>
      </c>
      <c r="Q6" t="s">
        <v>138</v>
      </c>
    </row>
    <row r="7" spans="1:21" x14ac:dyDescent="0.25">
      <c r="A7" t="s">
        <v>317</v>
      </c>
      <c r="B7" s="1" t="s">
        <v>179</v>
      </c>
      <c r="C7" t="s">
        <v>20</v>
      </c>
      <c r="D7" s="1" t="s">
        <v>179</v>
      </c>
      <c r="E7" s="1" t="s">
        <v>179</v>
      </c>
      <c r="F7" s="1">
        <v>2</v>
      </c>
      <c r="G7" s="1">
        <v>2</v>
      </c>
      <c r="H7" s="1" t="s">
        <v>180</v>
      </c>
      <c r="I7" s="1" t="s">
        <v>180</v>
      </c>
      <c r="J7" s="1" t="s">
        <v>180</v>
      </c>
      <c r="K7" s="1">
        <v>2</v>
      </c>
      <c r="L7" s="1">
        <v>2</v>
      </c>
      <c r="M7" t="s">
        <v>324</v>
      </c>
      <c r="N7" t="s">
        <v>325</v>
      </c>
      <c r="O7" t="s">
        <v>326</v>
      </c>
      <c r="P7">
        <v>5.5</v>
      </c>
    </row>
    <row r="8" spans="1:21" x14ac:dyDescent="0.25">
      <c r="H8" s="1" t="s">
        <v>327</v>
      </c>
      <c r="I8" s="1" t="s">
        <v>328</v>
      </c>
      <c r="J8" s="5" t="s">
        <v>21</v>
      </c>
      <c r="K8" s="1">
        <v>2</v>
      </c>
      <c r="L8" s="5">
        <v>-1</v>
      </c>
      <c r="M8" t="s">
        <v>324</v>
      </c>
      <c r="N8" t="s">
        <v>325</v>
      </c>
      <c r="O8" t="s">
        <v>17</v>
      </c>
    </row>
    <row r="9" spans="1:21" x14ac:dyDescent="0.25">
      <c r="A9" t="s">
        <v>317</v>
      </c>
      <c r="B9" s="1" t="s">
        <v>35</v>
      </c>
      <c r="C9" t="s">
        <v>20</v>
      </c>
      <c r="D9" s="1" t="s">
        <v>35</v>
      </c>
      <c r="E9" s="5" t="s">
        <v>21</v>
      </c>
      <c r="F9" s="1">
        <v>2</v>
      </c>
      <c r="G9" s="5">
        <v>-1</v>
      </c>
      <c r="H9" s="1" t="s">
        <v>198</v>
      </c>
      <c r="I9" s="1" t="s">
        <v>329</v>
      </c>
      <c r="J9" s="5" t="s">
        <v>21</v>
      </c>
      <c r="K9" s="1">
        <v>2</v>
      </c>
      <c r="L9" s="5">
        <v>-1</v>
      </c>
      <c r="M9" t="s">
        <v>99</v>
      </c>
      <c r="N9" t="s">
        <v>330</v>
      </c>
      <c r="O9" t="s">
        <v>17</v>
      </c>
    </row>
    <row r="10" spans="1:21" x14ac:dyDescent="0.25">
      <c r="A10" t="s">
        <v>317</v>
      </c>
      <c r="B10" s="1" t="s">
        <v>38</v>
      </c>
      <c r="C10" t="s">
        <v>20</v>
      </c>
      <c r="D10" s="1" t="s">
        <v>38</v>
      </c>
      <c r="E10" s="1" t="s">
        <v>38</v>
      </c>
      <c r="F10" s="1">
        <v>2</v>
      </c>
      <c r="G10" s="1">
        <v>2</v>
      </c>
      <c r="H10" s="1" t="s">
        <v>39</v>
      </c>
      <c r="I10" s="1" t="s">
        <v>39</v>
      </c>
      <c r="J10" s="1" t="s">
        <v>39</v>
      </c>
      <c r="K10" s="1">
        <v>2</v>
      </c>
      <c r="L10" s="1">
        <v>2</v>
      </c>
      <c r="M10" t="s">
        <v>201</v>
      </c>
      <c r="N10" t="s">
        <v>284</v>
      </c>
      <c r="O10" t="s">
        <v>331</v>
      </c>
      <c r="P10">
        <v>16.2</v>
      </c>
    </row>
    <row r="11" spans="1:21" x14ac:dyDescent="0.25">
      <c r="H11" s="1" t="s">
        <v>332</v>
      </c>
      <c r="I11" s="1" t="s">
        <v>332</v>
      </c>
      <c r="J11" s="1" t="s">
        <v>332</v>
      </c>
      <c r="K11" s="1">
        <v>2</v>
      </c>
      <c r="L11" s="1">
        <v>2</v>
      </c>
      <c r="M11" t="s">
        <v>201</v>
      </c>
      <c r="N11" t="s">
        <v>284</v>
      </c>
      <c r="O11" t="s">
        <v>333</v>
      </c>
      <c r="P11">
        <v>2.2000000000000002</v>
      </c>
    </row>
    <row r="12" spans="1:21" x14ac:dyDescent="0.25">
      <c r="A12" t="s">
        <v>317</v>
      </c>
      <c r="B12" s="1" t="s">
        <v>334</v>
      </c>
      <c r="C12" t="s">
        <v>20</v>
      </c>
      <c r="D12" s="1" t="s">
        <v>334</v>
      </c>
      <c r="E12" s="1" t="s">
        <v>334</v>
      </c>
      <c r="F12" s="1">
        <v>2</v>
      </c>
      <c r="G12" s="1">
        <v>2</v>
      </c>
      <c r="H12" s="1" t="s">
        <v>335</v>
      </c>
      <c r="I12" s="1" t="s">
        <v>336</v>
      </c>
      <c r="J12" s="1" t="s">
        <v>335</v>
      </c>
      <c r="K12" s="1">
        <v>2</v>
      </c>
      <c r="L12" s="1">
        <v>2</v>
      </c>
      <c r="M12" t="s">
        <v>337</v>
      </c>
      <c r="N12" t="s">
        <v>338</v>
      </c>
      <c r="O12" t="s">
        <v>339</v>
      </c>
      <c r="P12">
        <v>8.3000000000000007</v>
      </c>
    </row>
    <row r="13" spans="1:21" x14ac:dyDescent="0.25">
      <c r="A13" t="s">
        <v>317</v>
      </c>
      <c r="B13" s="1" t="s">
        <v>340</v>
      </c>
      <c r="C13" t="s">
        <v>20</v>
      </c>
      <c r="D13" t="s">
        <v>43</v>
      </c>
      <c r="E13" t="s">
        <v>21</v>
      </c>
      <c r="F13">
        <v>0</v>
      </c>
      <c r="G13">
        <v>0</v>
      </c>
      <c r="M13" t="s">
        <v>196</v>
      </c>
      <c r="N13" t="s">
        <v>341</v>
      </c>
      <c r="O13" t="s">
        <v>17</v>
      </c>
      <c r="Q13" t="s">
        <v>138</v>
      </c>
    </row>
    <row r="14" spans="1:21" x14ac:dyDescent="0.25">
      <c r="A14" t="s">
        <v>317</v>
      </c>
      <c r="B14" s="5" t="s">
        <v>442</v>
      </c>
      <c r="C14" t="s">
        <v>20</v>
      </c>
      <c r="D14" t="s">
        <v>21</v>
      </c>
      <c r="E14" s="5" t="s">
        <v>225</v>
      </c>
      <c r="F14">
        <v>0</v>
      </c>
      <c r="G14" s="5">
        <v>-2</v>
      </c>
      <c r="H14" s="5" t="s">
        <v>443</v>
      </c>
      <c r="I14" t="s">
        <v>21</v>
      </c>
      <c r="J14" s="5" t="s">
        <v>342</v>
      </c>
      <c r="K14">
        <v>0</v>
      </c>
      <c r="L14" s="5">
        <v>-2</v>
      </c>
      <c r="M14" t="s">
        <v>153</v>
      </c>
      <c r="N14" t="s">
        <v>17</v>
      </c>
      <c r="O14" t="s">
        <v>343</v>
      </c>
      <c r="P14">
        <v>1.2</v>
      </c>
      <c r="Q14" t="s">
        <v>445</v>
      </c>
    </row>
    <row r="15" spans="1:21" x14ac:dyDescent="0.25">
      <c r="A15" t="s">
        <v>317</v>
      </c>
      <c r="B15" s="5" t="s">
        <v>446</v>
      </c>
      <c r="C15" t="s">
        <v>20</v>
      </c>
      <c r="D15" t="s">
        <v>49</v>
      </c>
      <c r="E15" s="5" t="s">
        <v>49</v>
      </c>
      <c r="F15">
        <v>0</v>
      </c>
      <c r="G15" s="5">
        <v>-2</v>
      </c>
      <c r="H15" s="12" t="s">
        <v>447</v>
      </c>
      <c r="I15" t="s">
        <v>21</v>
      </c>
      <c r="J15" s="5" t="s">
        <v>51</v>
      </c>
      <c r="K15">
        <v>0</v>
      </c>
      <c r="L15" s="5">
        <v>-2</v>
      </c>
      <c r="M15" t="s">
        <v>143</v>
      </c>
      <c r="N15" t="s">
        <v>17</v>
      </c>
      <c r="O15" s="11">
        <v>26.549379999999999</v>
      </c>
      <c r="P15">
        <v>16.399999999999999</v>
      </c>
      <c r="Q15" t="s">
        <v>444</v>
      </c>
    </row>
    <row r="16" spans="1:21" x14ac:dyDescent="0.25">
      <c r="A16" t="s">
        <v>317</v>
      </c>
      <c r="B16" s="1" t="s">
        <v>52</v>
      </c>
      <c r="C16" t="s">
        <v>20</v>
      </c>
      <c r="D16" s="1" t="s">
        <v>52</v>
      </c>
      <c r="E16" s="1" t="s">
        <v>52</v>
      </c>
      <c r="F16" s="1">
        <v>2</v>
      </c>
      <c r="G16" s="1">
        <v>2</v>
      </c>
      <c r="H16" s="1" t="s">
        <v>53</v>
      </c>
      <c r="I16" s="1" t="s">
        <v>53</v>
      </c>
      <c r="J16" s="1" t="s">
        <v>53</v>
      </c>
      <c r="K16" s="1">
        <v>2</v>
      </c>
      <c r="L16" s="1">
        <v>2</v>
      </c>
      <c r="M16" t="s">
        <v>156</v>
      </c>
      <c r="N16" t="s">
        <v>344</v>
      </c>
      <c r="O16" s="11" t="s">
        <v>345</v>
      </c>
      <c r="P16">
        <v>16.3</v>
      </c>
    </row>
    <row r="17" spans="1:17" x14ac:dyDescent="0.25">
      <c r="A17" t="s">
        <v>317</v>
      </c>
      <c r="B17" s="1" t="s">
        <v>57</v>
      </c>
      <c r="C17" t="s">
        <v>20</v>
      </c>
      <c r="D17" s="1" t="s">
        <v>57</v>
      </c>
      <c r="E17" s="6" t="s">
        <v>57</v>
      </c>
      <c r="F17" s="1">
        <v>2</v>
      </c>
      <c r="G17" s="6">
        <v>1</v>
      </c>
      <c r="H17" s="1" t="s">
        <v>58</v>
      </c>
      <c r="I17" s="1" t="s">
        <v>58</v>
      </c>
      <c r="J17" s="5" t="s">
        <v>21</v>
      </c>
      <c r="K17" s="1">
        <v>2</v>
      </c>
      <c r="L17" s="5">
        <v>-1</v>
      </c>
      <c r="M17" t="s">
        <v>241</v>
      </c>
      <c r="N17" t="s">
        <v>160</v>
      </c>
      <c r="O17" t="s">
        <v>17</v>
      </c>
    </row>
    <row r="18" spans="1:17" x14ac:dyDescent="0.25">
      <c r="H18" s="1" t="s">
        <v>244</v>
      </c>
      <c r="I18" s="5" t="s">
        <v>21</v>
      </c>
      <c r="J18" s="6" t="s">
        <v>245</v>
      </c>
      <c r="K18" s="5">
        <v>-1</v>
      </c>
      <c r="L18" s="6">
        <v>1</v>
      </c>
      <c r="M18" t="s">
        <v>241</v>
      </c>
      <c r="N18" t="s">
        <v>17</v>
      </c>
      <c r="O18" t="s">
        <v>448</v>
      </c>
      <c r="P18">
        <v>19.3</v>
      </c>
      <c r="Q18" t="s">
        <v>449</v>
      </c>
    </row>
    <row r="19" spans="1:17" x14ac:dyDescent="0.25">
      <c r="A19" t="s">
        <v>317</v>
      </c>
      <c r="B19" s="1" t="s">
        <v>127</v>
      </c>
      <c r="C19" t="s">
        <v>20</v>
      </c>
      <c r="D19" s="1" t="s">
        <v>127</v>
      </c>
      <c r="E19" s="1" t="s">
        <v>127</v>
      </c>
      <c r="F19" s="1">
        <v>2</v>
      </c>
      <c r="G19" s="1">
        <v>2</v>
      </c>
      <c r="H19" s="1" t="s">
        <v>128</v>
      </c>
      <c r="I19" s="1" t="s">
        <v>128</v>
      </c>
      <c r="J19" s="1" t="s">
        <v>129</v>
      </c>
      <c r="K19" s="1">
        <v>2</v>
      </c>
      <c r="L19" s="1">
        <v>2</v>
      </c>
      <c r="M19" t="s">
        <v>124</v>
      </c>
      <c r="N19" t="s">
        <v>346</v>
      </c>
      <c r="O19" t="s">
        <v>347</v>
      </c>
      <c r="P19">
        <v>42.9</v>
      </c>
    </row>
    <row r="20" spans="1:17" x14ac:dyDescent="0.25">
      <c r="H20" s="1" t="s">
        <v>250</v>
      </c>
      <c r="I20" s="1" t="s">
        <v>348</v>
      </c>
      <c r="J20" s="1" t="s">
        <v>250</v>
      </c>
      <c r="K20" s="1">
        <v>2</v>
      </c>
      <c r="L20" s="1">
        <v>2</v>
      </c>
      <c r="M20" t="s">
        <v>124</v>
      </c>
      <c r="N20" t="s">
        <v>346</v>
      </c>
      <c r="O20" t="s">
        <v>349</v>
      </c>
      <c r="P20">
        <v>2.8</v>
      </c>
    </row>
    <row r="21" spans="1:17" x14ac:dyDescent="0.25">
      <c r="A21" t="s">
        <v>317</v>
      </c>
      <c r="B21" s="1" t="s">
        <v>350</v>
      </c>
      <c r="C21" t="s">
        <v>20</v>
      </c>
      <c r="D21" s="1" t="s">
        <v>350</v>
      </c>
      <c r="E21" s="1" t="s">
        <v>350</v>
      </c>
      <c r="F21" s="1">
        <v>2</v>
      </c>
      <c r="G21" s="1">
        <v>2</v>
      </c>
      <c r="H21" s="1" t="s">
        <v>351</v>
      </c>
      <c r="I21" s="1" t="s">
        <v>351</v>
      </c>
      <c r="J21" s="1" t="s">
        <v>352</v>
      </c>
      <c r="K21" s="1">
        <v>2</v>
      </c>
      <c r="L21" s="1">
        <v>2</v>
      </c>
      <c r="M21" t="s">
        <v>353</v>
      </c>
      <c r="N21" t="s">
        <v>354</v>
      </c>
      <c r="O21" t="s">
        <v>355</v>
      </c>
      <c r="P21">
        <v>14.9</v>
      </c>
    </row>
    <row r="22" spans="1:17" x14ac:dyDescent="0.25">
      <c r="H22" s="5" t="s">
        <v>356</v>
      </c>
      <c r="I22" s="5" t="s">
        <v>357</v>
      </c>
      <c r="J22" t="s">
        <v>17</v>
      </c>
      <c r="K22" s="5">
        <v>-2</v>
      </c>
      <c r="L22">
        <v>0</v>
      </c>
      <c r="M22" t="s">
        <v>17</v>
      </c>
      <c r="N22" t="s">
        <v>354</v>
      </c>
      <c r="O22" t="s">
        <v>17</v>
      </c>
      <c r="Q22" t="s">
        <v>450</v>
      </c>
    </row>
    <row r="23" spans="1:17" x14ac:dyDescent="0.25">
      <c r="A23" t="s">
        <v>317</v>
      </c>
      <c r="B23" s="1" t="s">
        <v>358</v>
      </c>
      <c r="C23" t="s">
        <v>20</v>
      </c>
      <c r="D23" t="s">
        <v>359</v>
      </c>
      <c r="E23" t="s">
        <v>21</v>
      </c>
      <c r="F23">
        <v>0</v>
      </c>
      <c r="G23">
        <v>0</v>
      </c>
      <c r="M23" t="s">
        <v>103</v>
      </c>
      <c r="N23" t="s">
        <v>360</v>
      </c>
      <c r="O23" t="s">
        <v>17</v>
      </c>
      <c r="Q23" t="s">
        <v>138</v>
      </c>
    </row>
    <row r="24" spans="1:17" x14ac:dyDescent="0.25">
      <c r="A24" t="s">
        <v>317</v>
      </c>
      <c r="B24" s="5" t="s">
        <v>361</v>
      </c>
      <c r="C24" t="s">
        <v>20</v>
      </c>
      <c r="D24" t="s">
        <v>21</v>
      </c>
      <c r="E24" s="5" t="s">
        <v>362</v>
      </c>
      <c r="F24">
        <v>0</v>
      </c>
      <c r="G24" s="5">
        <v>-2</v>
      </c>
      <c r="H24" s="5" t="s">
        <v>363</v>
      </c>
      <c r="I24" t="s">
        <v>21</v>
      </c>
      <c r="J24" s="5" t="s">
        <v>364</v>
      </c>
      <c r="K24">
        <v>0</v>
      </c>
      <c r="L24" s="5">
        <v>-2</v>
      </c>
      <c r="M24" t="s">
        <v>17</v>
      </c>
      <c r="N24" t="s">
        <v>17</v>
      </c>
      <c r="O24" t="s">
        <v>112</v>
      </c>
      <c r="P24">
        <v>1.8</v>
      </c>
      <c r="Q24" t="s">
        <v>415</v>
      </c>
    </row>
    <row r="25" spans="1:17" x14ac:dyDescent="0.25">
      <c r="A25" t="s">
        <v>317</v>
      </c>
      <c r="B25" s="1" t="s">
        <v>259</v>
      </c>
      <c r="C25" t="s">
        <v>20</v>
      </c>
      <c r="D25" t="s">
        <v>260</v>
      </c>
      <c r="E25" t="s">
        <v>21</v>
      </c>
      <c r="F25">
        <v>0</v>
      </c>
      <c r="G25">
        <v>0</v>
      </c>
      <c r="M25" t="s">
        <v>241</v>
      </c>
      <c r="N25" t="s">
        <v>261</v>
      </c>
      <c r="O25" t="s">
        <v>17</v>
      </c>
      <c r="Q25" t="s">
        <v>138</v>
      </c>
    </row>
    <row r="26" spans="1:17" x14ac:dyDescent="0.25">
      <c r="A26" t="s">
        <v>317</v>
      </c>
      <c r="B26" s="12" t="s">
        <v>108</v>
      </c>
      <c r="C26" t="s">
        <v>20</v>
      </c>
      <c r="D26" t="s">
        <v>21</v>
      </c>
      <c r="E26" s="5" t="s">
        <v>109</v>
      </c>
      <c r="F26">
        <v>0</v>
      </c>
      <c r="G26" s="5">
        <v>-2</v>
      </c>
      <c r="H26" s="12" t="s">
        <v>451</v>
      </c>
      <c r="I26" t="s">
        <v>21</v>
      </c>
      <c r="J26" s="5" t="s">
        <v>365</v>
      </c>
      <c r="K26">
        <v>0</v>
      </c>
      <c r="L26" s="5">
        <v>-2</v>
      </c>
      <c r="M26" t="s">
        <v>207</v>
      </c>
      <c r="N26" t="s">
        <v>17</v>
      </c>
      <c r="O26" s="11">
        <v>27.656020000000002</v>
      </c>
      <c r="P26">
        <v>19.3</v>
      </c>
      <c r="Q26" t="s">
        <v>455</v>
      </c>
    </row>
    <row r="27" spans="1:17" x14ac:dyDescent="0.25">
      <c r="A27" t="s">
        <v>317</v>
      </c>
      <c r="B27" s="1" t="s">
        <v>269</v>
      </c>
      <c r="C27" t="s">
        <v>20</v>
      </c>
      <c r="D27" t="s">
        <v>270</v>
      </c>
      <c r="E27" s="5" t="s">
        <v>270</v>
      </c>
      <c r="F27">
        <v>0</v>
      </c>
      <c r="G27" s="5">
        <v>-2</v>
      </c>
      <c r="H27" s="5" t="s">
        <v>271</v>
      </c>
      <c r="I27" t="s">
        <v>21</v>
      </c>
      <c r="J27" s="5" t="s">
        <v>272</v>
      </c>
      <c r="K27">
        <v>0</v>
      </c>
      <c r="L27" s="5">
        <v>-2</v>
      </c>
      <c r="M27" t="s">
        <v>17</v>
      </c>
      <c r="N27" t="s">
        <v>17</v>
      </c>
      <c r="O27" s="11">
        <v>26.083349999999999</v>
      </c>
      <c r="P27">
        <v>20</v>
      </c>
      <c r="Q27" t="s">
        <v>452</v>
      </c>
    </row>
    <row r="28" spans="1:17" x14ac:dyDescent="0.25">
      <c r="A28" t="s">
        <v>317</v>
      </c>
      <c r="B28" s="1" t="s">
        <v>61</v>
      </c>
      <c r="C28" t="s">
        <v>20</v>
      </c>
      <c r="D28" s="1" t="s">
        <v>61</v>
      </c>
      <c r="E28" s="6" t="s">
        <v>61</v>
      </c>
      <c r="F28" s="1">
        <v>2</v>
      </c>
      <c r="G28" s="6">
        <v>1</v>
      </c>
      <c r="H28" s="1" t="s">
        <v>366</v>
      </c>
      <c r="I28" s="1" t="s">
        <v>62</v>
      </c>
      <c r="J28" s="6" t="s">
        <v>63</v>
      </c>
      <c r="K28" s="1">
        <v>2</v>
      </c>
      <c r="L28" s="6">
        <v>1</v>
      </c>
      <c r="M28" t="s">
        <v>367</v>
      </c>
      <c r="N28" t="s">
        <v>210</v>
      </c>
      <c r="O28" t="s">
        <v>368</v>
      </c>
      <c r="P28">
        <v>49.4</v>
      </c>
      <c r="Q28" t="s">
        <v>453</v>
      </c>
    </row>
    <row r="29" spans="1:17" x14ac:dyDescent="0.25">
      <c r="A29" t="s">
        <v>317</v>
      </c>
      <c r="B29" s="1" t="s">
        <v>281</v>
      </c>
      <c r="C29" t="s">
        <v>20</v>
      </c>
      <c r="D29" s="1" t="s">
        <v>281</v>
      </c>
      <c r="E29" s="1" t="s">
        <v>281</v>
      </c>
      <c r="F29" s="1">
        <v>2</v>
      </c>
      <c r="G29" s="1">
        <v>2</v>
      </c>
      <c r="H29" s="1" t="s">
        <v>282</v>
      </c>
      <c r="I29" s="1" t="s">
        <v>282</v>
      </c>
      <c r="J29" s="1" t="s">
        <v>282</v>
      </c>
      <c r="K29" s="1">
        <v>2</v>
      </c>
      <c r="L29" s="1">
        <v>2</v>
      </c>
      <c r="M29" t="s">
        <v>201</v>
      </c>
      <c r="N29" t="s">
        <v>369</v>
      </c>
      <c r="O29" t="s">
        <v>370</v>
      </c>
      <c r="P29">
        <v>5.5</v>
      </c>
    </row>
    <row r="30" spans="1:17" x14ac:dyDescent="0.25">
      <c r="A30" t="s">
        <v>317</v>
      </c>
      <c r="B30" s="1" t="s">
        <v>289</v>
      </c>
      <c r="C30" t="s">
        <v>20</v>
      </c>
      <c r="D30" s="5" t="s">
        <v>21</v>
      </c>
      <c r="E30" s="1" t="s">
        <v>289</v>
      </c>
      <c r="F30" s="5">
        <v>-1</v>
      </c>
      <c r="G30" s="1">
        <v>2</v>
      </c>
      <c r="H30" s="1" t="s">
        <v>371</v>
      </c>
      <c r="I30" s="5" t="s">
        <v>21</v>
      </c>
      <c r="J30" s="1" t="s">
        <v>371</v>
      </c>
      <c r="K30" s="5">
        <v>-1</v>
      </c>
      <c r="L30" s="1">
        <v>2</v>
      </c>
      <c r="M30" t="s">
        <v>372</v>
      </c>
      <c r="N30" t="s">
        <v>17</v>
      </c>
      <c r="O30" t="s">
        <v>373</v>
      </c>
      <c r="P30">
        <v>8.1999999999999993</v>
      </c>
      <c r="Q30" t="s">
        <v>454</v>
      </c>
    </row>
    <row r="31" spans="1:17" x14ac:dyDescent="0.25">
      <c r="A31" t="s">
        <v>317</v>
      </c>
      <c r="B31" s="1" t="s">
        <v>374</v>
      </c>
      <c r="C31" t="s">
        <v>20</v>
      </c>
      <c r="D31" t="s">
        <v>291</v>
      </c>
      <c r="E31" t="s">
        <v>21</v>
      </c>
      <c r="F31">
        <v>0</v>
      </c>
      <c r="G31">
        <v>0</v>
      </c>
      <c r="M31" t="s">
        <v>36</v>
      </c>
      <c r="N31" t="s">
        <v>37</v>
      </c>
      <c r="O31" t="s">
        <v>17</v>
      </c>
      <c r="Q31" t="s">
        <v>138</v>
      </c>
    </row>
    <row r="32" spans="1:17" x14ac:dyDescent="0.25">
      <c r="A32" t="s">
        <v>317</v>
      </c>
      <c r="B32" s="5" t="s">
        <v>375</v>
      </c>
      <c r="C32" t="s">
        <v>20</v>
      </c>
      <c r="D32" t="s">
        <v>21</v>
      </c>
      <c r="E32" s="5" t="s">
        <v>376</v>
      </c>
      <c r="F32">
        <v>0</v>
      </c>
      <c r="G32" s="5">
        <v>-2</v>
      </c>
      <c r="H32" s="5" t="s">
        <v>377</v>
      </c>
      <c r="I32" t="s">
        <v>21</v>
      </c>
      <c r="J32" s="5" t="s">
        <v>378</v>
      </c>
      <c r="K32">
        <v>0</v>
      </c>
      <c r="L32" s="5">
        <v>-2</v>
      </c>
      <c r="M32" t="s">
        <v>17</v>
      </c>
      <c r="N32" t="s">
        <v>17</v>
      </c>
      <c r="O32" t="s">
        <v>379</v>
      </c>
      <c r="P32">
        <v>0.1</v>
      </c>
      <c r="Q32" t="s">
        <v>415</v>
      </c>
    </row>
    <row r="35" spans="1:11" ht="15.75" x14ac:dyDescent="0.25">
      <c r="A35" s="3" t="s">
        <v>67</v>
      </c>
      <c r="H35" s="3" t="s">
        <v>68</v>
      </c>
    </row>
    <row r="36" spans="1:11" x14ac:dyDescent="0.25">
      <c r="A36" s="4" t="s">
        <v>69</v>
      </c>
      <c r="F36">
        <f>COUNTIFS(B2:B32,"&lt;&gt;*_*",B2:B32,"&lt;&gt;")</f>
        <v>14</v>
      </c>
      <c r="H36" s="4" t="s">
        <v>69</v>
      </c>
      <c r="K36">
        <f>COUNTIFS(B2:B32,"&lt;&gt;*_*",B2:B32,"&lt;&gt;",R2:R32,"&lt;&gt;TRUE")</f>
        <v>14</v>
      </c>
    </row>
    <row r="37" spans="1:11" x14ac:dyDescent="0.25">
      <c r="A37" s="4" t="s">
        <v>70</v>
      </c>
      <c r="F37">
        <f>COUNTIFS(F2:F32,"&gt;0")</f>
        <v>13</v>
      </c>
      <c r="H37" s="4" t="s">
        <v>70</v>
      </c>
      <c r="K37">
        <f>COUNTIFS(F2:F32,"&gt;0",R2:R32,"&lt;&gt;TRUE")</f>
        <v>13</v>
      </c>
    </row>
    <row r="38" spans="1:11" x14ac:dyDescent="0.25">
      <c r="A38" s="4" t="s">
        <v>71</v>
      </c>
      <c r="F38">
        <f>COUNTIFS(G2:G32,"&gt;0")</f>
        <v>10</v>
      </c>
      <c r="H38" s="4" t="s">
        <v>71</v>
      </c>
      <c r="K38">
        <f>COUNTIFS(G2:G32,"&gt;0",S2:S32,"&lt;&gt;TRUE")</f>
        <v>10</v>
      </c>
    </row>
    <row r="39" spans="1:11" x14ac:dyDescent="0.25">
      <c r="A39" s="4" t="s">
        <v>72</v>
      </c>
      <c r="F39">
        <f>COUNTIFS(F2:F32,"&lt;&gt;-1",F2:F32,"&lt;&gt;0",F2:F32,"&lt;2")</f>
        <v>0</v>
      </c>
      <c r="H39" s="4" t="s">
        <v>72</v>
      </c>
      <c r="K39">
        <f>COUNTIFS(F2:F32,"&lt;&gt;-1",F2:F32,"&lt;&gt;0",F2:F32,"&lt;2",R2:R32,"&lt;&gt;TRUE")</f>
        <v>0</v>
      </c>
    </row>
    <row r="40" spans="1:11" x14ac:dyDescent="0.25">
      <c r="A40" s="4" t="s">
        <v>73</v>
      </c>
      <c r="F40">
        <f>COUNTIFS(G2:G32,"&lt;&gt;-1",G2:G32,"&lt;&gt;0",G2:G32,"&lt;2")</f>
        <v>8</v>
      </c>
      <c r="H40" s="4" t="s">
        <v>73</v>
      </c>
      <c r="K40">
        <f>COUNTIFS(G2:G32,"&lt;&gt;-1",G2:G32,"&lt;&gt;0",G2:G32,"&lt;2",S2:S32,"&lt;&gt;TRUE")</f>
        <v>8</v>
      </c>
    </row>
    <row r="41" spans="1:11" x14ac:dyDescent="0.25">
      <c r="A41" s="4" t="s">
        <v>74</v>
      </c>
      <c r="F41">
        <f>COUNTIFS(F2:F32,"=-1")+COUNTIFS(F2:F32,"=-3")</f>
        <v>1</v>
      </c>
      <c r="H41" s="4" t="s">
        <v>74</v>
      </c>
      <c r="K41">
        <f>COUNTIFS(F2:F32,"=-1",R2:R32,"&lt;&gt;TRUE")+COUNTIFS(F2:F32,"=-3",R2:R32,"&lt;&gt;TRUE")</f>
        <v>1</v>
      </c>
    </row>
    <row r="42" spans="1:11" x14ac:dyDescent="0.25">
      <c r="A42" s="4" t="s">
        <v>75</v>
      </c>
      <c r="F42">
        <f>COUNTIFS(G2:G32,"=-1")+COUNTIFS(G2:G32,"=-3")</f>
        <v>4</v>
      </c>
      <c r="H42" s="4" t="s">
        <v>75</v>
      </c>
      <c r="K42">
        <f>COUNTIFS(G2:G32,"=-1",S2:S32,"&lt;&gt;TRUE")+COUNTIFS(G2:G32,"=-3",S2:S32,"&lt;&gt;TRUE")</f>
        <v>4</v>
      </c>
    </row>
    <row r="43" spans="1:11" x14ac:dyDescent="0.25">
      <c r="A43" s="4" t="s">
        <v>76</v>
      </c>
      <c r="F43" s="8">
        <f>F37/F36</f>
        <v>0.9285714285714286</v>
      </c>
      <c r="H43" s="4" t="s">
        <v>76</v>
      </c>
      <c r="K43" s="8">
        <f>K37/K36</f>
        <v>0.9285714285714286</v>
      </c>
    </row>
    <row r="44" spans="1:11" x14ac:dyDescent="0.25">
      <c r="A44" s="4" t="s">
        <v>77</v>
      </c>
      <c r="F44" s="8">
        <f>F38/F36</f>
        <v>0.7142857142857143</v>
      </c>
      <c r="H44" s="4" t="s">
        <v>78</v>
      </c>
      <c r="K44" s="8">
        <f>K38/K36</f>
        <v>0.7142857142857143</v>
      </c>
    </row>
    <row r="45" spans="1:11" x14ac:dyDescent="0.25">
      <c r="A45" s="4" t="s">
        <v>79</v>
      </c>
      <c r="F45" s="8">
        <f>F37/(F37+F39)</f>
        <v>1</v>
      </c>
      <c r="H45" s="4" t="s">
        <v>79</v>
      </c>
      <c r="K45" s="8">
        <f>K37/(K37+K39)</f>
        <v>1</v>
      </c>
    </row>
    <row r="46" spans="1:11" x14ac:dyDescent="0.25">
      <c r="A46" s="4" t="s">
        <v>80</v>
      </c>
      <c r="F46" s="8">
        <f>F38/(F38+F40)</f>
        <v>0.55555555555555558</v>
      </c>
      <c r="H46" s="4" t="s">
        <v>80</v>
      </c>
      <c r="K46" s="8">
        <f>K38/(K38+K40)</f>
        <v>0.55555555555555558</v>
      </c>
    </row>
    <row r="49" spans="1:11" ht="15.75" x14ac:dyDescent="0.25">
      <c r="A49" s="3" t="s">
        <v>81</v>
      </c>
      <c r="H49" s="3" t="s">
        <v>82</v>
      </c>
    </row>
    <row r="50" spans="1:11" x14ac:dyDescent="0.25">
      <c r="A50" s="4" t="s">
        <v>69</v>
      </c>
      <c r="F50">
        <f>COUNTIFS(H2:H32,"&lt;&gt;*_FP",H2:H32,"&lt;&gt;",H2:H32,"&lt;&gt;no structure")</f>
        <v>18</v>
      </c>
      <c r="H50" s="4" t="s">
        <v>69</v>
      </c>
      <c r="K50">
        <f>COUNTIFS(H2:H32,"&lt;&gt;*_FP",H2:H32,"&lt;&gt;",H2:H32,"&lt;&gt;no structure",T2:T32,"&lt;&gt;TRUE")</f>
        <v>18</v>
      </c>
    </row>
    <row r="51" spans="1:11" x14ac:dyDescent="0.25">
      <c r="A51" s="4" t="s">
        <v>70</v>
      </c>
      <c r="F51">
        <f>COUNTIFS(K2:K32,"&gt;0")</f>
        <v>16</v>
      </c>
      <c r="H51" s="4" t="s">
        <v>70</v>
      </c>
      <c r="K51">
        <f>COUNTIFS(K2:K32,"&gt;0",T2:T32,"&lt;&gt;TRUE")</f>
        <v>16</v>
      </c>
    </row>
    <row r="52" spans="1:11" x14ac:dyDescent="0.25">
      <c r="A52" s="4" t="s">
        <v>71</v>
      </c>
      <c r="F52">
        <f>COUNTIFS(L2:L32,"&gt;0")</f>
        <v>12</v>
      </c>
      <c r="H52" s="4" t="s">
        <v>71</v>
      </c>
      <c r="K52">
        <f>COUNTIFS(L2:L32,"&gt;0",U2:U32,"&lt;&gt;TRUE")</f>
        <v>12</v>
      </c>
    </row>
    <row r="53" spans="1:11" x14ac:dyDescent="0.25">
      <c r="A53" s="4" t="s">
        <v>72</v>
      </c>
      <c r="F53">
        <f>COUNTIFS(K2:K32,"&lt;&gt;-1",K2:K32,"&lt;&gt;0",K2:K32,"&lt;2")</f>
        <v>1</v>
      </c>
      <c r="H53" s="4" t="s">
        <v>72</v>
      </c>
      <c r="K53">
        <f>COUNTIFS(K2:K32,"&lt;&gt;-1",K2:K32,"&lt;&gt;0",K2:K32,"&lt;2",T2:T32,"&lt;&gt;TRUE")</f>
        <v>1</v>
      </c>
    </row>
    <row r="54" spans="1:11" x14ac:dyDescent="0.25">
      <c r="A54" s="4" t="s">
        <v>73</v>
      </c>
      <c r="F54">
        <f>COUNTIFS(L2:L32,"&lt;&gt;-1",L2:L32,"&lt;&gt;0",L2:L32,"&lt;2")</f>
        <v>8</v>
      </c>
      <c r="H54" s="4" t="s">
        <v>73</v>
      </c>
      <c r="K54">
        <f>COUNTIFS(L2:L32,"&lt;&gt;-1",L2:L32,"&lt;&gt;0",L2:L32,"&lt;2",U2:U32,"&lt;&gt;TRUE")</f>
        <v>8</v>
      </c>
    </row>
    <row r="55" spans="1:11" x14ac:dyDescent="0.25">
      <c r="A55" s="4" t="s">
        <v>74</v>
      </c>
      <c r="F55">
        <f>COUNTIFS(K2:K32,"=-1")+COUNTIFS(K2:K32,"=-3")</f>
        <v>2</v>
      </c>
      <c r="H55" s="4" t="s">
        <v>74</v>
      </c>
      <c r="K55">
        <f>COUNTIFS(K2:K32,"=-1",T2:T32,"&lt;&gt;TRUE")+COUNTIFS(K2:K32,"=-3",T2:T32,"&lt;&gt;TRUE")</f>
        <v>2</v>
      </c>
    </row>
    <row r="56" spans="1:11" x14ac:dyDescent="0.25">
      <c r="A56" s="4" t="s">
        <v>75</v>
      </c>
      <c r="F56">
        <f>COUNTIFS(L2:L32,"=-1")+COUNTIFS(L2:L32,"=-3")</f>
        <v>6</v>
      </c>
      <c r="H56" s="4" t="s">
        <v>75</v>
      </c>
      <c r="K56">
        <f>COUNTIFS(L2:L32,"=-1",U2:U32,"&lt;&gt;TRUE")+COUNTIFS(L2:L32,"=-3",U2:U32,"&lt;&gt;TRUE")</f>
        <v>6</v>
      </c>
    </row>
    <row r="57" spans="1:11" x14ac:dyDescent="0.25">
      <c r="A57" s="4" t="s">
        <v>76</v>
      </c>
      <c r="F57" s="8">
        <f>F51/F50</f>
        <v>0.88888888888888884</v>
      </c>
      <c r="H57" s="4" t="s">
        <v>76</v>
      </c>
      <c r="K57" s="8">
        <f>K51/K50</f>
        <v>0.88888888888888884</v>
      </c>
    </row>
    <row r="58" spans="1:11" x14ac:dyDescent="0.25">
      <c r="A58" s="4" t="s">
        <v>77</v>
      </c>
      <c r="F58" s="8">
        <f>F52/F50</f>
        <v>0.66666666666666663</v>
      </c>
      <c r="H58" s="4" t="s">
        <v>78</v>
      </c>
      <c r="K58" s="8">
        <f>K52/K50</f>
        <v>0.66666666666666663</v>
      </c>
    </row>
    <row r="59" spans="1:11" x14ac:dyDescent="0.25">
      <c r="A59" s="4" t="s">
        <v>79</v>
      </c>
      <c r="F59" s="8">
        <f>F51/(F51+F53)</f>
        <v>0.94117647058823528</v>
      </c>
      <c r="H59" s="4" t="s">
        <v>79</v>
      </c>
      <c r="K59" s="8">
        <f>K51/(K51+K53)</f>
        <v>0.94117647058823528</v>
      </c>
    </row>
    <row r="60" spans="1:11" x14ac:dyDescent="0.25">
      <c r="A60" s="4" t="s">
        <v>80</v>
      </c>
      <c r="F60" s="8">
        <f>F52/(F52+F54)</f>
        <v>0.6</v>
      </c>
      <c r="H60" s="4" t="s">
        <v>80</v>
      </c>
      <c r="K60" s="8">
        <f>K52/(K52+K54)</f>
        <v>0.6</v>
      </c>
    </row>
    <row r="63" spans="1:11" ht="15.75" x14ac:dyDescent="0.25">
      <c r="A63" s="3" t="s">
        <v>83</v>
      </c>
    </row>
    <row r="64" spans="1:11" x14ac:dyDescent="0.25">
      <c r="A64" s="1" t="s">
        <v>84</v>
      </c>
    </row>
    <row r="65" spans="1:1" x14ac:dyDescent="0.25">
      <c r="A65" s="5" t="s">
        <v>85</v>
      </c>
    </row>
    <row r="67" spans="1:1" x14ac:dyDescent="0.25">
      <c r="A67" s="1" t="s">
        <v>86</v>
      </c>
    </row>
    <row r="68" spans="1:1" x14ac:dyDescent="0.25">
      <c r="A68" s="6" t="s">
        <v>87</v>
      </c>
    </row>
    <row r="69" spans="1:1" x14ac:dyDescent="0.25">
      <c r="A69" s="7" t="s">
        <v>88</v>
      </c>
    </row>
    <row r="70" spans="1:1" x14ac:dyDescent="0.25">
      <c r="A70" s="5" t="s">
        <v>89</v>
      </c>
    </row>
    <row r="72" spans="1:1" x14ac:dyDescent="0.25">
      <c r="A72" s="4" t="s">
        <v>90</v>
      </c>
    </row>
    <row r="73" spans="1:1" x14ac:dyDescent="0.25">
      <c r="A73" t="s">
        <v>91</v>
      </c>
    </row>
    <row r="74" spans="1:1" x14ac:dyDescent="0.25">
      <c r="A74" t="s">
        <v>92</v>
      </c>
    </row>
    <row r="75" spans="1:1" x14ac:dyDescent="0.25">
      <c r="A75" t="s">
        <v>93</v>
      </c>
    </row>
    <row r="76" spans="1:1" x14ac:dyDescent="0.25">
      <c r="A76" t="s">
        <v>94</v>
      </c>
    </row>
    <row r="77" spans="1:1" x14ac:dyDescent="0.25">
      <c r="A77" t="s">
        <v>95</v>
      </c>
    </row>
    <row r="78" spans="1:1" x14ac:dyDescent="0.25">
      <c r="A78" t="s">
        <v>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workbookViewId="0">
      <selection activeCell="Q8" sqref="Q8"/>
    </sheetView>
  </sheetViews>
  <sheetFormatPr baseColWidth="10" defaultColWidth="8.85546875"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380</v>
      </c>
      <c r="B2" s="5" t="s">
        <v>457</v>
      </c>
      <c r="C2" t="s">
        <v>20</v>
      </c>
      <c r="D2" t="s">
        <v>21</v>
      </c>
      <c r="E2" s="5" t="s">
        <v>22</v>
      </c>
      <c r="F2">
        <v>0</v>
      </c>
      <c r="G2" s="5">
        <v>-2</v>
      </c>
      <c r="H2" s="12" t="s">
        <v>459</v>
      </c>
      <c r="I2" t="s">
        <v>21</v>
      </c>
      <c r="J2" s="5" t="s">
        <v>155</v>
      </c>
      <c r="K2">
        <v>0</v>
      </c>
      <c r="L2" s="5">
        <v>-2</v>
      </c>
      <c r="M2" t="s">
        <v>247</v>
      </c>
      <c r="N2" t="s">
        <v>17</v>
      </c>
      <c r="O2" t="s">
        <v>381</v>
      </c>
      <c r="P2">
        <v>5.5</v>
      </c>
      <c r="Q2" t="s">
        <v>456</v>
      </c>
    </row>
    <row r="3" spans="1:21" x14ac:dyDescent="0.25">
      <c r="A3" t="s">
        <v>380</v>
      </c>
      <c r="B3" s="1" t="s">
        <v>26</v>
      </c>
      <c r="C3" t="s">
        <v>20</v>
      </c>
      <c r="D3" s="1" t="s">
        <v>26</v>
      </c>
      <c r="E3" s="1" t="s">
        <v>26</v>
      </c>
      <c r="F3" s="1">
        <v>2</v>
      </c>
      <c r="G3" s="1">
        <v>2</v>
      </c>
      <c r="H3" s="1" t="s">
        <v>27</v>
      </c>
      <c r="I3" s="1" t="s">
        <v>27</v>
      </c>
      <c r="J3" s="1" t="s">
        <v>27</v>
      </c>
      <c r="K3" s="1">
        <v>2</v>
      </c>
      <c r="L3" s="1">
        <v>2</v>
      </c>
      <c r="M3" t="s">
        <v>382</v>
      </c>
      <c r="N3" t="s">
        <v>383</v>
      </c>
      <c r="O3" t="s">
        <v>384</v>
      </c>
      <c r="P3">
        <v>6.6</v>
      </c>
    </row>
    <row r="4" spans="1:21" x14ac:dyDescent="0.25">
      <c r="A4" t="s">
        <v>380</v>
      </c>
      <c r="B4" s="5" t="s">
        <v>385</v>
      </c>
      <c r="C4" t="s">
        <v>20</v>
      </c>
      <c r="D4" t="s">
        <v>21</v>
      </c>
      <c r="E4" s="5" t="s">
        <v>386</v>
      </c>
      <c r="F4">
        <v>0</v>
      </c>
      <c r="G4" s="5">
        <v>-2</v>
      </c>
      <c r="H4" s="5" t="s">
        <v>387</v>
      </c>
      <c r="I4" t="s">
        <v>21</v>
      </c>
      <c r="J4" s="5" t="s">
        <v>388</v>
      </c>
      <c r="K4">
        <v>0</v>
      </c>
      <c r="L4" s="5">
        <v>-2</v>
      </c>
      <c r="M4" t="s">
        <v>17</v>
      </c>
      <c r="N4" t="s">
        <v>17</v>
      </c>
      <c r="O4" s="11">
        <v>23.199619999999999</v>
      </c>
      <c r="P4">
        <v>37.200000000000003</v>
      </c>
      <c r="Q4" t="s">
        <v>458</v>
      </c>
    </row>
    <row r="5" spans="1:21" x14ac:dyDescent="0.25">
      <c r="A5" t="s">
        <v>380</v>
      </c>
      <c r="B5" s="13" t="s">
        <v>35</v>
      </c>
      <c r="C5" t="s">
        <v>20</v>
      </c>
      <c r="D5" s="5" t="s">
        <v>21</v>
      </c>
      <c r="E5" s="6" t="s">
        <v>35</v>
      </c>
      <c r="F5" s="5">
        <v>-1</v>
      </c>
      <c r="G5" s="6">
        <v>1</v>
      </c>
      <c r="H5" s="1" t="s">
        <v>198</v>
      </c>
      <c r="I5" s="5" t="s">
        <v>21</v>
      </c>
      <c r="J5" s="1" t="s">
        <v>198</v>
      </c>
      <c r="K5" s="5">
        <v>-1</v>
      </c>
      <c r="L5" s="6">
        <v>1</v>
      </c>
      <c r="M5" t="s">
        <v>17</v>
      </c>
      <c r="N5" t="s">
        <v>17</v>
      </c>
      <c r="O5" t="s">
        <v>389</v>
      </c>
      <c r="P5">
        <v>1</v>
      </c>
      <c r="Q5" t="s">
        <v>462</v>
      </c>
    </row>
    <row r="6" spans="1:21" x14ac:dyDescent="0.25">
      <c r="A6" t="s">
        <v>380</v>
      </c>
      <c r="B6" s="5" t="s">
        <v>390</v>
      </c>
      <c r="C6" t="s">
        <v>20</v>
      </c>
      <c r="D6" t="s">
        <v>21</v>
      </c>
      <c r="E6" s="5" t="s">
        <v>391</v>
      </c>
      <c r="F6">
        <v>0</v>
      </c>
      <c r="G6" s="5">
        <v>-2</v>
      </c>
      <c r="H6" s="5" t="s">
        <v>392</v>
      </c>
      <c r="I6" t="s">
        <v>21</v>
      </c>
      <c r="J6" s="5" t="s">
        <v>393</v>
      </c>
      <c r="K6">
        <v>0</v>
      </c>
      <c r="L6" s="5">
        <v>-2</v>
      </c>
      <c r="M6" t="s">
        <v>17</v>
      </c>
      <c r="N6" t="s">
        <v>17</v>
      </c>
      <c r="O6" t="s">
        <v>394</v>
      </c>
      <c r="P6">
        <v>4.7</v>
      </c>
      <c r="Q6" t="s">
        <v>458</v>
      </c>
    </row>
    <row r="7" spans="1:21" x14ac:dyDescent="0.25">
      <c r="A7" t="s">
        <v>380</v>
      </c>
      <c r="B7" s="5" t="s">
        <v>395</v>
      </c>
      <c r="C7" t="s">
        <v>20</v>
      </c>
      <c r="D7" s="5" t="s">
        <v>52</v>
      </c>
      <c r="E7" t="s">
        <v>21</v>
      </c>
      <c r="F7" s="5">
        <v>-2</v>
      </c>
      <c r="G7">
        <v>0</v>
      </c>
      <c r="M7" t="s">
        <v>17</v>
      </c>
      <c r="N7" t="s">
        <v>17</v>
      </c>
      <c r="O7" t="s">
        <v>17</v>
      </c>
      <c r="Q7" t="s">
        <v>460</v>
      </c>
    </row>
    <row r="8" spans="1:21" x14ac:dyDescent="0.25">
      <c r="A8" t="s">
        <v>380</v>
      </c>
      <c r="B8" s="5" t="s">
        <v>396</v>
      </c>
      <c r="C8" t="s">
        <v>20</v>
      </c>
      <c r="D8" t="s">
        <v>21</v>
      </c>
      <c r="E8" s="5" t="s">
        <v>397</v>
      </c>
      <c r="F8">
        <v>0</v>
      </c>
      <c r="G8" s="5">
        <v>-2</v>
      </c>
      <c r="H8" s="5" t="s">
        <v>398</v>
      </c>
      <c r="I8" t="s">
        <v>21</v>
      </c>
      <c r="J8" s="5" t="s">
        <v>399</v>
      </c>
      <c r="K8">
        <v>0</v>
      </c>
      <c r="L8" s="5">
        <v>-2</v>
      </c>
      <c r="M8" t="s">
        <v>17</v>
      </c>
      <c r="N8" t="s">
        <v>17</v>
      </c>
      <c r="O8" t="s">
        <v>400</v>
      </c>
      <c r="P8">
        <v>50</v>
      </c>
      <c r="Q8" t="s">
        <v>460</v>
      </c>
    </row>
    <row r="9" spans="1:21" x14ac:dyDescent="0.25">
      <c r="A9" t="s">
        <v>380</v>
      </c>
      <c r="B9" s="5" t="s">
        <v>401</v>
      </c>
      <c r="C9" t="s">
        <v>20</v>
      </c>
      <c r="D9" t="s">
        <v>21</v>
      </c>
      <c r="E9" s="5" t="s">
        <v>402</v>
      </c>
      <c r="F9">
        <v>0</v>
      </c>
      <c r="G9" s="5">
        <v>-2</v>
      </c>
      <c r="H9" s="5" t="s">
        <v>403</v>
      </c>
      <c r="I9" t="s">
        <v>21</v>
      </c>
      <c r="J9" s="5" t="s">
        <v>404</v>
      </c>
      <c r="K9">
        <v>0</v>
      </c>
      <c r="L9" s="5">
        <v>-2</v>
      </c>
      <c r="M9" t="s">
        <v>17</v>
      </c>
      <c r="N9" t="s">
        <v>17</v>
      </c>
      <c r="O9" t="s">
        <v>405</v>
      </c>
      <c r="P9">
        <v>3.8</v>
      </c>
      <c r="Q9" t="s">
        <v>460</v>
      </c>
    </row>
    <row r="10" spans="1:21" x14ac:dyDescent="0.25">
      <c r="A10" t="s">
        <v>380</v>
      </c>
      <c r="B10" s="5" t="s">
        <v>406</v>
      </c>
      <c r="C10" t="s">
        <v>20</v>
      </c>
      <c r="D10" t="s">
        <v>21</v>
      </c>
      <c r="E10" s="5" t="s">
        <v>407</v>
      </c>
      <c r="F10">
        <v>0</v>
      </c>
      <c r="G10" s="5">
        <v>-2</v>
      </c>
      <c r="H10" s="5" t="s">
        <v>408</v>
      </c>
      <c r="I10" t="s">
        <v>21</v>
      </c>
      <c r="J10" s="5" t="s">
        <v>409</v>
      </c>
      <c r="K10">
        <v>0</v>
      </c>
      <c r="L10" s="5">
        <v>-2</v>
      </c>
      <c r="M10" t="s">
        <v>17</v>
      </c>
      <c r="N10" t="s">
        <v>17</v>
      </c>
      <c r="O10" t="s">
        <v>410</v>
      </c>
      <c r="P10">
        <v>2.5</v>
      </c>
      <c r="Q10" t="s">
        <v>460</v>
      </c>
    </row>
    <row r="11" spans="1:21" x14ac:dyDescent="0.25">
      <c r="A11" t="s">
        <v>380</v>
      </c>
      <c r="B11" s="5" t="s">
        <v>411</v>
      </c>
      <c r="C11" t="s">
        <v>20</v>
      </c>
      <c r="D11" t="s">
        <v>21</v>
      </c>
      <c r="E11" s="5" t="s">
        <v>412</v>
      </c>
      <c r="F11">
        <v>0</v>
      </c>
      <c r="G11" s="5">
        <v>-2</v>
      </c>
      <c r="H11" s="5" t="s">
        <v>413</v>
      </c>
      <c r="I11" t="s">
        <v>21</v>
      </c>
      <c r="J11" s="5" t="s">
        <v>414</v>
      </c>
      <c r="K11">
        <v>0</v>
      </c>
      <c r="L11" s="5">
        <v>-2</v>
      </c>
      <c r="M11" t="s">
        <v>17</v>
      </c>
      <c r="N11" t="s">
        <v>17</v>
      </c>
      <c r="O11" t="s">
        <v>34</v>
      </c>
      <c r="P11">
        <v>60.8</v>
      </c>
      <c r="Q11" t="s">
        <v>461</v>
      </c>
    </row>
    <row r="14" spans="1:21" ht="15.75" x14ac:dyDescent="0.25">
      <c r="A14" s="3" t="s">
        <v>67</v>
      </c>
      <c r="H14" s="3" t="s">
        <v>68</v>
      </c>
    </row>
    <row r="15" spans="1:21" x14ac:dyDescent="0.25">
      <c r="A15" s="4" t="s">
        <v>69</v>
      </c>
      <c r="F15">
        <f>COUNTIFS(B2:B11,"&lt;&gt;*_*",B2:B11,"&lt;&gt;")</f>
        <v>2</v>
      </c>
      <c r="H15" s="4" t="s">
        <v>69</v>
      </c>
      <c r="K15">
        <f>COUNTIFS(B2:B11,"&lt;&gt;*_*",B2:B11,"&lt;&gt;",R2:R11,"&lt;&gt;TRUE")</f>
        <v>2</v>
      </c>
    </row>
    <row r="16" spans="1:21" x14ac:dyDescent="0.25">
      <c r="A16" s="4" t="s">
        <v>70</v>
      </c>
      <c r="F16">
        <f>COUNTIFS(F2:F11,"&gt;0")</f>
        <v>1</v>
      </c>
      <c r="H16" s="4" t="s">
        <v>70</v>
      </c>
      <c r="K16">
        <f>COUNTIFS(F2:F11,"&gt;0",R2:R11,"&lt;&gt;TRUE")</f>
        <v>1</v>
      </c>
    </row>
    <row r="17" spans="1:11" x14ac:dyDescent="0.25">
      <c r="A17" s="4" t="s">
        <v>71</v>
      </c>
      <c r="F17">
        <f>COUNTIFS(G2:G11,"&gt;0")</f>
        <v>2</v>
      </c>
      <c r="H17" s="4" t="s">
        <v>71</v>
      </c>
      <c r="K17">
        <f>COUNTIFS(G2:G11,"&gt;0",S2:S11,"&lt;&gt;TRUE")</f>
        <v>2</v>
      </c>
    </row>
    <row r="18" spans="1:11" x14ac:dyDescent="0.25">
      <c r="A18" s="4" t="s">
        <v>72</v>
      </c>
      <c r="F18">
        <f>COUNTIFS(F2:F11,"&lt;&gt;-1",F2:F11,"&lt;&gt;0",F2:F11,"&lt;2")</f>
        <v>1</v>
      </c>
      <c r="H18" s="4" t="s">
        <v>72</v>
      </c>
      <c r="K18">
        <f>COUNTIFS(F2:F11,"&lt;&gt;-1",F2:F11,"&lt;&gt;0",F2:F11,"&lt;2",R2:R11,"&lt;&gt;TRUE")</f>
        <v>1</v>
      </c>
    </row>
    <row r="19" spans="1:11" x14ac:dyDescent="0.25">
      <c r="A19" s="4" t="s">
        <v>73</v>
      </c>
      <c r="F19">
        <f>COUNTIFS(G2:G11,"&lt;&gt;-1",G2:G11,"&lt;&gt;0",G2:G11,"&lt;2")</f>
        <v>8</v>
      </c>
      <c r="H19" s="4" t="s">
        <v>73</v>
      </c>
      <c r="K19">
        <f>COUNTIFS(G2:G11,"&lt;&gt;-1",G2:G11,"&lt;&gt;0",G2:G11,"&lt;2",S2:S11,"&lt;&gt;TRUE")</f>
        <v>8</v>
      </c>
    </row>
    <row r="20" spans="1:11" x14ac:dyDescent="0.25">
      <c r="A20" s="4" t="s">
        <v>74</v>
      </c>
      <c r="F20">
        <f>COUNTIFS(F2:F11,"=-1")+COUNTIFS(F2:F11,"=-3")</f>
        <v>1</v>
      </c>
      <c r="H20" s="4" t="s">
        <v>74</v>
      </c>
      <c r="K20">
        <f>COUNTIFS(F2:F11,"=-1",R2:R11,"&lt;&gt;TRUE")+COUNTIFS(F2:F11,"=-3",R2:R11,"&lt;&gt;TRUE")</f>
        <v>1</v>
      </c>
    </row>
    <row r="21" spans="1:11" x14ac:dyDescent="0.25">
      <c r="A21" s="4" t="s">
        <v>75</v>
      </c>
      <c r="F21">
        <f>COUNTIFS(G2:G11,"=-1")+COUNTIFS(G2:G11,"=-3")</f>
        <v>0</v>
      </c>
      <c r="H21" s="4" t="s">
        <v>75</v>
      </c>
      <c r="K21">
        <f>COUNTIFS(G2:G11,"=-1",S2:S11,"&lt;&gt;TRUE")+COUNTIFS(G2:G11,"=-3",S2:S11,"&lt;&gt;TRUE")</f>
        <v>0</v>
      </c>
    </row>
    <row r="22" spans="1:11" x14ac:dyDescent="0.25">
      <c r="A22" s="4" t="s">
        <v>76</v>
      </c>
      <c r="F22" s="8">
        <f>F16/F15</f>
        <v>0.5</v>
      </c>
      <c r="H22" s="4" t="s">
        <v>76</v>
      </c>
      <c r="K22" s="8">
        <f>K16/K15</f>
        <v>0.5</v>
      </c>
    </row>
    <row r="23" spans="1:11" x14ac:dyDescent="0.25">
      <c r="A23" s="4" t="s">
        <v>77</v>
      </c>
      <c r="F23" s="8">
        <f>F17/F15</f>
        <v>1</v>
      </c>
      <c r="H23" s="4" t="s">
        <v>78</v>
      </c>
      <c r="K23" s="8">
        <f>K17/K15</f>
        <v>1</v>
      </c>
    </row>
    <row r="24" spans="1:11" x14ac:dyDescent="0.25">
      <c r="A24" s="4" t="s">
        <v>79</v>
      </c>
      <c r="F24" s="8">
        <f>F16/(F16+F18)</f>
        <v>0.5</v>
      </c>
      <c r="H24" s="4" t="s">
        <v>79</v>
      </c>
      <c r="K24" s="8">
        <f>K16/(K16+K18)</f>
        <v>0.5</v>
      </c>
    </row>
    <row r="25" spans="1:11" x14ac:dyDescent="0.25">
      <c r="A25" s="4" t="s">
        <v>80</v>
      </c>
      <c r="F25" s="8">
        <f>F17/(F17+F19)</f>
        <v>0.2</v>
      </c>
      <c r="H25" s="4" t="s">
        <v>80</v>
      </c>
      <c r="K25" s="8">
        <f>K17/(K17+K19)</f>
        <v>0.2</v>
      </c>
    </row>
    <row r="28" spans="1:11" ht="15.75" x14ac:dyDescent="0.25">
      <c r="A28" s="3" t="s">
        <v>81</v>
      </c>
      <c r="H28" s="3" t="s">
        <v>82</v>
      </c>
    </row>
    <row r="29" spans="1:11" x14ac:dyDescent="0.25">
      <c r="A29" s="4" t="s">
        <v>69</v>
      </c>
      <c r="F29">
        <f>COUNTIFS(H2:H11,"&lt;&gt;*_FP",H2:H11,"&lt;&gt;",H2:H11,"&lt;&gt;no structure")</f>
        <v>2</v>
      </c>
      <c r="H29" s="4" t="s">
        <v>69</v>
      </c>
      <c r="K29">
        <f>COUNTIFS(H2:H11,"&lt;&gt;*_FP",H2:H11,"&lt;&gt;",H2:H11,"&lt;&gt;no structure",T2:T11,"&lt;&gt;TRUE")</f>
        <v>2</v>
      </c>
    </row>
    <row r="30" spans="1:11" x14ac:dyDescent="0.25">
      <c r="A30" s="4" t="s">
        <v>70</v>
      </c>
      <c r="F30">
        <f>COUNTIFS(K2:K11,"&gt;0")</f>
        <v>1</v>
      </c>
      <c r="H30" s="4" t="s">
        <v>70</v>
      </c>
      <c r="K30">
        <f>COUNTIFS(K2:K11,"&gt;0",T2:T11,"&lt;&gt;TRUE")</f>
        <v>1</v>
      </c>
    </row>
    <row r="31" spans="1:11" x14ac:dyDescent="0.25">
      <c r="A31" s="4" t="s">
        <v>71</v>
      </c>
      <c r="F31">
        <f>COUNTIFS(L2:L11,"&gt;0")</f>
        <v>2</v>
      </c>
      <c r="H31" s="4" t="s">
        <v>71</v>
      </c>
      <c r="K31">
        <f>COUNTIFS(L2:L11,"&gt;0",U2:U11,"&lt;&gt;TRUE")</f>
        <v>2</v>
      </c>
    </row>
    <row r="32" spans="1:11" x14ac:dyDescent="0.25">
      <c r="A32" s="4" t="s">
        <v>72</v>
      </c>
      <c r="F32">
        <f>COUNTIFS(K2:K11,"&lt;&gt;-1",K2:K11,"&lt;&gt;0",K2:K11,"&lt;2")</f>
        <v>0</v>
      </c>
      <c r="H32" s="4" t="s">
        <v>72</v>
      </c>
      <c r="K32">
        <f>COUNTIFS(K2:K11,"&lt;&gt;-1",K2:K11,"&lt;&gt;0",K2:K11,"&lt;2",T2:T11,"&lt;&gt;TRUE")</f>
        <v>0</v>
      </c>
    </row>
    <row r="33" spans="1:11" x14ac:dyDescent="0.25">
      <c r="A33" s="4" t="s">
        <v>73</v>
      </c>
      <c r="F33">
        <f>COUNTIFS(L2:L11,"&lt;&gt;-1",L2:L11,"&lt;&gt;0",L2:L11,"&lt;2")</f>
        <v>8</v>
      </c>
      <c r="H33" s="4" t="s">
        <v>73</v>
      </c>
      <c r="K33">
        <f>COUNTIFS(L2:L11,"&lt;&gt;-1",L2:L11,"&lt;&gt;0",L2:L11,"&lt;2",U2:U11,"&lt;&gt;TRUE")</f>
        <v>8</v>
      </c>
    </row>
    <row r="34" spans="1:11" x14ac:dyDescent="0.25">
      <c r="A34" s="4" t="s">
        <v>74</v>
      </c>
      <c r="F34">
        <f>COUNTIFS(K2:K11,"=-1")+COUNTIFS(K2:K11,"=-3")</f>
        <v>1</v>
      </c>
      <c r="H34" s="4" t="s">
        <v>74</v>
      </c>
      <c r="K34">
        <f>COUNTIFS(K2:K11,"=-1",T2:T11,"&lt;&gt;TRUE")+COUNTIFS(K2:K11,"=-3",T2:T11,"&lt;&gt;TRUE")</f>
        <v>1</v>
      </c>
    </row>
    <row r="35" spans="1:11" x14ac:dyDescent="0.25">
      <c r="A35" s="4" t="s">
        <v>75</v>
      </c>
      <c r="F35">
        <f>COUNTIFS(L2:L11,"=-1")+COUNTIFS(L2:L11,"=-3")</f>
        <v>0</v>
      </c>
      <c r="H35" s="4" t="s">
        <v>75</v>
      </c>
      <c r="K35">
        <f>COUNTIFS(L2:L11,"=-1",U2:U11,"&lt;&gt;TRUE")+COUNTIFS(L2:L11,"=-3",U2:U11,"&lt;&gt;TRUE")</f>
        <v>0</v>
      </c>
    </row>
    <row r="36" spans="1:11" x14ac:dyDescent="0.25">
      <c r="A36" s="4" t="s">
        <v>76</v>
      </c>
      <c r="F36" s="8">
        <f>F30/F29</f>
        <v>0.5</v>
      </c>
      <c r="H36" s="4" t="s">
        <v>76</v>
      </c>
      <c r="K36" s="8">
        <f>K30/K29</f>
        <v>0.5</v>
      </c>
    </row>
    <row r="37" spans="1:11" x14ac:dyDescent="0.25">
      <c r="A37" s="4" t="s">
        <v>77</v>
      </c>
      <c r="F37" s="8">
        <f>F31/F29</f>
        <v>1</v>
      </c>
      <c r="H37" s="4" t="s">
        <v>78</v>
      </c>
      <c r="K37" s="8">
        <f>K31/K29</f>
        <v>1</v>
      </c>
    </row>
    <row r="38" spans="1:11" x14ac:dyDescent="0.25">
      <c r="A38" s="4" t="s">
        <v>79</v>
      </c>
      <c r="F38" s="8">
        <f>F30/(F30+F32)</f>
        <v>1</v>
      </c>
      <c r="H38" s="4" t="s">
        <v>79</v>
      </c>
      <c r="K38" s="8">
        <f>K30/(K30+K32)</f>
        <v>1</v>
      </c>
    </row>
    <row r="39" spans="1:11" x14ac:dyDescent="0.25">
      <c r="A39" s="4" t="s">
        <v>80</v>
      </c>
      <c r="F39" s="8">
        <f>F31/(F31+F33)</f>
        <v>0.2</v>
      </c>
      <c r="H39" s="4" t="s">
        <v>80</v>
      </c>
      <c r="K39" s="8">
        <f>K31/(K31+K33)</f>
        <v>0.2</v>
      </c>
    </row>
    <row r="42" spans="1:11" ht="15.75" x14ac:dyDescent="0.25">
      <c r="A42" s="3" t="s">
        <v>83</v>
      </c>
    </row>
    <row r="43" spans="1:11" x14ac:dyDescent="0.25">
      <c r="A43" s="1" t="s">
        <v>84</v>
      </c>
    </row>
    <row r="44" spans="1:11" x14ac:dyDescent="0.25">
      <c r="A44" s="5" t="s">
        <v>85</v>
      </c>
    </row>
    <row r="46" spans="1:11" x14ac:dyDescent="0.25">
      <c r="A46" s="1" t="s">
        <v>86</v>
      </c>
    </row>
    <row r="47" spans="1:11" x14ac:dyDescent="0.25">
      <c r="A47" s="6" t="s">
        <v>87</v>
      </c>
    </row>
    <row r="48" spans="1:11" x14ac:dyDescent="0.25">
      <c r="A48" s="7" t="s">
        <v>88</v>
      </c>
    </row>
    <row r="49" spans="1:1" x14ac:dyDescent="0.25">
      <c r="A49" s="5" t="s">
        <v>89</v>
      </c>
    </row>
    <row r="51" spans="1:1" x14ac:dyDescent="0.25">
      <c r="A51" s="4" t="s">
        <v>90</v>
      </c>
    </row>
    <row r="52" spans="1:1" x14ac:dyDescent="0.25">
      <c r="A52" t="s">
        <v>91</v>
      </c>
    </row>
    <row r="53" spans="1:1" x14ac:dyDescent="0.25">
      <c r="A53" t="s">
        <v>92</v>
      </c>
    </row>
    <row r="54" spans="1:1" x14ac:dyDescent="0.25">
      <c r="A54" t="s">
        <v>93</v>
      </c>
    </row>
    <row r="55" spans="1:1" x14ac:dyDescent="0.25">
      <c r="A55" t="s">
        <v>94</v>
      </c>
    </row>
    <row r="56" spans="1:1" x14ac:dyDescent="0.25">
      <c r="A56" t="s">
        <v>95</v>
      </c>
    </row>
    <row r="57" spans="1:1" x14ac:dyDescent="0.25">
      <c r="A57" t="s">
        <v>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M20" sqref="M20"/>
    </sheetView>
  </sheetViews>
  <sheetFormatPr baseColWidth="10" defaultColWidth="8.85546875"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4" spans="1:14" ht="15.75" x14ac:dyDescent="0.25">
      <c r="A4" s="3" t="s">
        <v>67</v>
      </c>
      <c r="H4" s="3" t="s">
        <v>68</v>
      </c>
    </row>
    <row r="5" spans="1:14" x14ac:dyDescent="0.25">
      <c r="A5" s="4" t="s">
        <v>69</v>
      </c>
      <c r="F5">
        <v>0</v>
      </c>
      <c r="H5" s="4" t="s">
        <v>69</v>
      </c>
      <c r="K5">
        <v>0</v>
      </c>
    </row>
    <row r="6" spans="1:14" x14ac:dyDescent="0.25">
      <c r="A6" s="4" t="s">
        <v>70</v>
      </c>
      <c r="F6">
        <f>COUNTIFS(F1:F2,"&gt;0")</f>
        <v>0</v>
      </c>
      <c r="H6" s="4" t="s">
        <v>70</v>
      </c>
      <c r="K6">
        <f>COUNTIFS(F1:F2,"&gt;0",M1:M2,"&lt;&gt;TRUE")</f>
        <v>0</v>
      </c>
    </row>
    <row r="7" spans="1:14" x14ac:dyDescent="0.25">
      <c r="A7" s="4" t="s">
        <v>71</v>
      </c>
      <c r="F7">
        <f>COUNTIFS(G1:G2,"&gt;0")</f>
        <v>0</v>
      </c>
      <c r="H7" s="4" t="s">
        <v>71</v>
      </c>
      <c r="K7">
        <f>COUNTIFS(G1:G2,"&gt;0",N1:N2,"&lt;&gt;TRUE")</f>
        <v>0</v>
      </c>
    </row>
    <row r="8" spans="1:14" x14ac:dyDescent="0.25">
      <c r="A8" s="4" t="s">
        <v>72</v>
      </c>
      <c r="F8">
        <f>COUNTIFS(F1:F2,"&lt;&gt;-1",F1:F2,"&lt;&gt;0",F1:F2,"&lt;2")</f>
        <v>0</v>
      </c>
      <c r="H8" s="4" t="s">
        <v>72</v>
      </c>
      <c r="K8">
        <f>COUNTIFS(F1:F2,"&lt;&gt;-1",F1:F2,"&lt;&gt;0",F1:F2,"&lt;2",M1:M2,"&lt;&gt;TRUE")</f>
        <v>0</v>
      </c>
    </row>
    <row r="9" spans="1:14" x14ac:dyDescent="0.25">
      <c r="A9" s="4" t="s">
        <v>73</v>
      </c>
      <c r="F9">
        <f>COUNTIFS(G1:G2,"&lt;&gt;-1",G1:G2,"&lt;&gt;0",G1:G2,"&lt;2")</f>
        <v>0</v>
      </c>
      <c r="H9" s="4" t="s">
        <v>73</v>
      </c>
      <c r="K9">
        <f>COUNTIFS(G1:G2,"&lt;&gt;-1",G1:G2,"&lt;&gt;0",G1:G2,"&lt;2",N1:N2,"&lt;&gt;TRUE")</f>
        <v>0</v>
      </c>
    </row>
    <row r="10" spans="1:14" x14ac:dyDescent="0.25">
      <c r="A10" s="4" t="s">
        <v>74</v>
      </c>
      <c r="F10">
        <f>COUNTIFS(F1:F2,"=-1")+COUNTIFS(F1:F2,"=-3")</f>
        <v>0</v>
      </c>
      <c r="H10" s="4" t="s">
        <v>74</v>
      </c>
      <c r="K10">
        <f>COUNTIFS(F1:F2,"=-1",M1:M2,"&lt;&gt;TRUE")+COUNTIFS(F1:F2,"=-3",M1:M2,"&lt;&gt;TRUE")</f>
        <v>0</v>
      </c>
    </row>
    <row r="11" spans="1:14" x14ac:dyDescent="0.25">
      <c r="A11" s="4" t="s">
        <v>75</v>
      </c>
      <c r="F11">
        <f>COUNTIFS(G1:G2,"=-1")+COUNTIFS(G1:G2,"=-3")</f>
        <v>0</v>
      </c>
      <c r="H11" s="4" t="s">
        <v>75</v>
      </c>
      <c r="K11">
        <f>COUNTIFS(G1:G2,"=-1",N1:N2,"&lt;&gt;TRUE")+COUNTIFS(G1:G2,"=-3",N1:N2,"&lt;&gt;TRUE")</f>
        <v>0</v>
      </c>
    </row>
    <row r="12" spans="1:14" x14ac:dyDescent="0.25">
      <c r="A12" s="4" t="s">
        <v>76</v>
      </c>
      <c r="F12" s="10" t="s">
        <v>422</v>
      </c>
      <c r="H12" s="4" t="s">
        <v>76</v>
      </c>
      <c r="K12" s="10" t="s">
        <v>422</v>
      </c>
    </row>
    <row r="13" spans="1:14" x14ac:dyDescent="0.25">
      <c r="A13" s="4" t="s">
        <v>77</v>
      </c>
      <c r="F13" s="10" t="s">
        <v>422</v>
      </c>
      <c r="H13" s="4" t="s">
        <v>78</v>
      </c>
      <c r="K13" s="10" t="s">
        <v>422</v>
      </c>
    </row>
    <row r="14" spans="1:14" x14ac:dyDescent="0.25">
      <c r="A14" s="4" t="s">
        <v>79</v>
      </c>
      <c r="F14" s="10" t="s">
        <v>422</v>
      </c>
      <c r="H14" s="4" t="s">
        <v>79</v>
      </c>
      <c r="K14" s="10" t="s">
        <v>422</v>
      </c>
    </row>
    <row r="15" spans="1:14" x14ac:dyDescent="0.25">
      <c r="A15" s="4" t="s">
        <v>80</v>
      </c>
      <c r="F15" s="10" t="s">
        <v>422</v>
      </c>
      <c r="H15" s="4" t="s">
        <v>80</v>
      </c>
      <c r="K15" s="10" t="s">
        <v>422</v>
      </c>
    </row>
    <row r="18" spans="1:1" ht="15.75" x14ac:dyDescent="0.25">
      <c r="A18" s="3" t="s">
        <v>83</v>
      </c>
    </row>
    <row r="19" spans="1:1" x14ac:dyDescent="0.25">
      <c r="A19" s="1" t="s">
        <v>84</v>
      </c>
    </row>
    <row r="20" spans="1:1" x14ac:dyDescent="0.25">
      <c r="A20" s="5" t="s">
        <v>85</v>
      </c>
    </row>
    <row r="22" spans="1:1" x14ac:dyDescent="0.25">
      <c r="A22" s="1" t="s">
        <v>86</v>
      </c>
    </row>
    <row r="23" spans="1:1" x14ac:dyDescent="0.25">
      <c r="A23" s="6" t="s">
        <v>87</v>
      </c>
    </row>
    <row r="24" spans="1:1" x14ac:dyDescent="0.25">
      <c r="A24" s="7" t="s">
        <v>88</v>
      </c>
    </row>
    <row r="25" spans="1:1" x14ac:dyDescent="0.25">
      <c r="A25" s="5" t="s">
        <v>89</v>
      </c>
    </row>
    <row r="27" spans="1:1" x14ac:dyDescent="0.25">
      <c r="A27" s="4" t="s">
        <v>90</v>
      </c>
    </row>
    <row r="28" spans="1:1" x14ac:dyDescent="0.25">
      <c r="A28" t="s">
        <v>91</v>
      </c>
    </row>
    <row r="29" spans="1:1" x14ac:dyDescent="0.25">
      <c r="A29" t="s">
        <v>92</v>
      </c>
    </row>
    <row r="30" spans="1:1" x14ac:dyDescent="0.25">
      <c r="A30" t="s">
        <v>93</v>
      </c>
    </row>
    <row r="31" spans="1:1" x14ac:dyDescent="0.25">
      <c r="A31" t="s">
        <v>94</v>
      </c>
    </row>
    <row r="32" spans="1:1" x14ac:dyDescent="0.25">
      <c r="A32" t="s">
        <v>95</v>
      </c>
    </row>
    <row r="33" spans="1:1" x14ac:dyDescent="0.25">
      <c r="A33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Summary</vt:lpstr>
      <vt:lpstr>PI</vt:lpstr>
      <vt:lpstr>P-PE</vt:lpstr>
      <vt:lpstr>LPE</vt:lpstr>
      <vt:lpstr>PS</vt:lpstr>
      <vt:lpstr>PC</vt:lpstr>
      <vt:lpstr>PE</vt:lpstr>
      <vt:lpstr>PG</vt:lpstr>
      <vt:lpstr>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Köfeler Harald, Mag.Dr.</cp:lastModifiedBy>
  <dcterms:created xsi:type="dcterms:W3CDTF">2017-03-17T14:42:09Z</dcterms:created>
  <dcterms:modified xsi:type="dcterms:W3CDTF">2017-05-02T08:17:14Z</dcterms:modified>
</cp:coreProperties>
</file>