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040" windowHeight="9405"/>
  </bookViews>
  <sheets>
    <sheet name="Summary" sheetId="9" r:id="rId1"/>
    <sheet name="PI" sheetId="1" r:id="rId2"/>
    <sheet name="P-PE" sheetId="2" r:id="rId3"/>
    <sheet name="LPE" sheetId="3" r:id="rId4"/>
    <sheet name="PS" sheetId="4" r:id="rId5"/>
    <sheet name="PC" sheetId="5" r:id="rId6"/>
    <sheet name="PE" sheetId="6" r:id="rId7"/>
    <sheet name="PG" sheetId="7" r:id="rId8"/>
    <sheet name="Cer" sheetId="8" r:id="rId9"/>
  </sheets>
  <calcPr calcId="145621"/>
</workbook>
</file>

<file path=xl/calcChain.xml><?xml version="1.0" encoding="utf-8"?>
<calcChain xmlns="http://schemas.openxmlformats.org/spreadsheetml/2006/main">
  <c r="Q30" i="9" l="1"/>
  <c r="O30" i="9"/>
  <c r="M30" i="9"/>
  <c r="K30" i="9"/>
  <c r="I30" i="9"/>
  <c r="G30" i="9"/>
  <c r="E30" i="9"/>
  <c r="C30" i="9"/>
  <c r="O27" i="9"/>
  <c r="M27" i="9"/>
  <c r="K27" i="9"/>
  <c r="G27" i="9"/>
  <c r="E27" i="9"/>
  <c r="C27" i="9"/>
  <c r="Q26" i="9"/>
  <c r="O26" i="9"/>
  <c r="M26" i="9"/>
  <c r="K26" i="9"/>
  <c r="I26" i="9"/>
  <c r="G26" i="9"/>
  <c r="E26" i="9"/>
  <c r="C26" i="9"/>
  <c r="Q25" i="9"/>
  <c r="O25" i="9"/>
  <c r="M25" i="9"/>
  <c r="K25" i="9"/>
  <c r="I25" i="9"/>
  <c r="G25" i="9"/>
  <c r="E25" i="9"/>
  <c r="C25" i="9"/>
  <c r="Q24" i="9"/>
  <c r="O24" i="9"/>
  <c r="M24" i="9"/>
  <c r="K24" i="9"/>
  <c r="I24" i="9"/>
  <c r="G24" i="9"/>
  <c r="E24" i="9"/>
  <c r="C24" i="9"/>
  <c r="G23" i="9"/>
  <c r="E23" i="9"/>
  <c r="C23" i="9"/>
  <c r="O22" i="9"/>
  <c r="M22" i="9"/>
  <c r="K22" i="9"/>
  <c r="G22" i="9"/>
  <c r="E22" i="9"/>
  <c r="C22" i="9"/>
  <c r="Q21" i="9"/>
  <c r="O21" i="9"/>
  <c r="M21" i="9"/>
  <c r="K21" i="9"/>
  <c r="I21" i="9"/>
  <c r="G21" i="9"/>
  <c r="E21" i="9"/>
  <c r="C21" i="9"/>
  <c r="Q13" i="9"/>
  <c r="O13" i="9"/>
  <c r="M13" i="9"/>
  <c r="K13" i="9"/>
  <c r="I13" i="9"/>
  <c r="G13" i="9"/>
  <c r="E13" i="9"/>
  <c r="C13" i="9"/>
  <c r="O10" i="9"/>
  <c r="M10" i="9"/>
  <c r="K10" i="9"/>
  <c r="G10" i="9"/>
  <c r="E10" i="9"/>
  <c r="C10" i="9"/>
  <c r="Q9" i="9"/>
  <c r="O9" i="9"/>
  <c r="M9" i="9"/>
  <c r="K9" i="9"/>
  <c r="I9" i="9"/>
  <c r="G9" i="9"/>
  <c r="E9" i="9"/>
  <c r="C9" i="9"/>
  <c r="Q8" i="9"/>
  <c r="O8" i="9"/>
  <c r="M8" i="9"/>
  <c r="K8" i="9"/>
  <c r="I8" i="9"/>
  <c r="G8" i="9"/>
  <c r="E8" i="9"/>
  <c r="C8" i="9"/>
  <c r="Q7" i="9"/>
  <c r="O7" i="9"/>
  <c r="M7" i="9"/>
  <c r="K7" i="9"/>
  <c r="I7" i="9"/>
  <c r="G7" i="9"/>
  <c r="E7" i="9"/>
  <c r="C7" i="9"/>
  <c r="G6" i="9"/>
  <c r="E6" i="9"/>
  <c r="C6" i="9"/>
  <c r="O5" i="9"/>
  <c r="M5" i="9"/>
  <c r="K5" i="9"/>
  <c r="G5" i="9"/>
  <c r="E5" i="9"/>
  <c r="C5" i="9"/>
  <c r="Q4" i="9"/>
  <c r="O4" i="9"/>
  <c r="M4" i="9"/>
  <c r="K4" i="9"/>
  <c r="I4" i="9"/>
  <c r="G4" i="9"/>
  <c r="E4" i="9"/>
  <c r="C4" i="9"/>
  <c r="K85" i="5" l="1"/>
  <c r="K84" i="5"/>
  <c r="K83" i="5"/>
  <c r="K82" i="5"/>
  <c r="K71" i="5"/>
  <c r="K70" i="5"/>
  <c r="K69" i="5"/>
  <c r="K68" i="5"/>
  <c r="K81" i="5" l="1"/>
  <c r="K80" i="5"/>
  <c r="K79" i="5"/>
  <c r="K78" i="5"/>
  <c r="K77" i="5"/>
  <c r="K76" i="5"/>
  <c r="K75" i="5"/>
  <c r="K67" i="5"/>
  <c r="K66" i="5"/>
  <c r="K65" i="5"/>
  <c r="K64" i="5"/>
  <c r="K63" i="5"/>
  <c r="K62" i="5"/>
  <c r="K61" i="5"/>
  <c r="K11" i="8" l="1"/>
  <c r="F11" i="8"/>
  <c r="K10" i="8"/>
  <c r="F10" i="8"/>
  <c r="K9" i="8"/>
  <c r="F9" i="8"/>
  <c r="K8" i="8"/>
  <c r="F8" i="8"/>
  <c r="K7" i="8"/>
  <c r="F7" i="8"/>
  <c r="K6" i="8"/>
  <c r="F6" i="8"/>
  <c r="K28" i="7"/>
  <c r="F28" i="7"/>
  <c r="K27" i="7"/>
  <c r="F27" i="7"/>
  <c r="K26" i="7"/>
  <c r="F26" i="7"/>
  <c r="K25" i="7"/>
  <c r="F25" i="7"/>
  <c r="K24" i="7"/>
  <c r="F24" i="7"/>
  <c r="K23" i="7"/>
  <c r="K31" i="7" s="1"/>
  <c r="F23" i="7"/>
  <c r="F31" i="7" s="1"/>
  <c r="K22" i="7"/>
  <c r="F22" i="7"/>
  <c r="F30" i="7" s="1"/>
  <c r="K14" i="7"/>
  <c r="F14" i="7"/>
  <c r="K13" i="7"/>
  <c r="F13" i="7"/>
  <c r="K12" i="7"/>
  <c r="F12" i="7"/>
  <c r="K11" i="7"/>
  <c r="F11" i="7"/>
  <c r="K10" i="7"/>
  <c r="F10" i="7"/>
  <c r="K9" i="7"/>
  <c r="F9" i="7"/>
  <c r="F15" i="7" s="1"/>
  <c r="K8" i="7"/>
  <c r="F8" i="7"/>
  <c r="K51" i="6"/>
  <c r="F51" i="6"/>
  <c r="K50" i="6"/>
  <c r="F50" i="6"/>
  <c r="K49" i="6"/>
  <c r="F49" i="6"/>
  <c r="K48" i="6"/>
  <c r="F48" i="6"/>
  <c r="K47" i="6"/>
  <c r="F47" i="6"/>
  <c r="K46" i="6"/>
  <c r="F46" i="6"/>
  <c r="F54" i="6" s="1"/>
  <c r="K45" i="6"/>
  <c r="F45" i="6"/>
  <c r="K37" i="6"/>
  <c r="F37" i="6"/>
  <c r="K36" i="6"/>
  <c r="F36" i="6"/>
  <c r="K35" i="6"/>
  <c r="F35" i="6"/>
  <c r="K34" i="6"/>
  <c r="F34" i="6"/>
  <c r="K33" i="6"/>
  <c r="K41" i="6" s="1"/>
  <c r="F33" i="6"/>
  <c r="K32" i="6"/>
  <c r="F32" i="6"/>
  <c r="K31" i="6"/>
  <c r="F31" i="6"/>
  <c r="F81" i="5"/>
  <c r="F80" i="5"/>
  <c r="F79" i="5"/>
  <c r="F78" i="5"/>
  <c r="F77" i="5"/>
  <c r="F76" i="5"/>
  <c r="F75" i="5"/>
  <c r="F67" i="5"/>
  <c r="F66" i="5"/>
  <c r="F65" i="5"/>
  <c r="F64" i="5"/>
  <c r="F63" i="5"/>
  <c r="F62" i="5"/>
  <c r="F61" i="5"/>
  <c r="K28" i="4"/>
  <c r="F28" i="4"/>
  <c r="K27" i="4"/>
  <c r="F27" i="4"/>
  <c r="K26" i="4"/>
  <c r="F26" i="4"/>
  <c r="K25" i="4"/>
  <c r="F25" i="4"/>
  <c r="K24" i="4"/>
  <c r="K32" i="4" s="1"/>
  <c r="F24" i="4"/>
  <c r="F30" i="4" s="1"/>
  <c r="K23" i="4"/>
  <c r="K31" i="4" s="1"/>
  <c r="F23" i="4"/>
  <c r="F31" i="4" s="1"/>
  <c r="K22" i="4"/>
  <c r="F22" i="4"/>
  <c r="K14" i="4"/>
  <c r="F14" i="4"/>
  <c r="K13" i="4"/>
  <c r="F13" i="4"/>
  <c r="K12" i="4"/>
  <c r="F12" i="4"/>
  <c r="K11" i="4"/>
  <c r="F11" i="4"/>
  <c r="K10" i="4"/>
  <c r="F10" i="4"/>
  <c r="F18" i="4" s="1"/>
  <c r="K9" i="4"/>
  <c r="K17" i="4" s="1"/>
  <c r="F9" i="4"/>
  <c r="K8" i="4"/>
  <c r="F8" i="4"/>
  <c r="F16" i="3"/>
  <c r="K14" i="3"/>
  <c r="F14" i="3"/>
  <c r="K13" i="3"/>
  <c r="F13" i="3"/>
  <c r="K12" i="3"/>
  <c r="F12" i="3"/>
  <c r="K11" i="3"/>
  <c r="F11" i="3"/>
  <c r="K10" i="3"/>
  <c r="F10" i="3"/>
  <c r="K9" i="3"/>
  <c r="K17" i="3" s="1"/>
  <c r="F9" i="3"/>
  <c r="F17" i="3" s="1"/>
  <c r="K8" i="3"/>
  <c r="F8" i="3"/>
  <c r="F31" i="2"/>
  <c r="K28" i="2"/>
  <c r="F28" i="2"/>
  <c r="K27" i="2"/>
  <c r="F27" i="2"/>
  <c r="K26" i="2"/>
  <c r="F26" i="2"/>
  <c r="K25" i="2"/>
  <c r="F25" i="2"/>
  <c r="K24" i="2"/>
  <c r="F24" i="2"/>
  <c r="K23" i="2"/>
  <c r="K31" i="2" s="1"/>
  <c r="F23" i="2"/>
  <c r="F29" i="2" s="1"/>
  <c r="K22" i="2"/>
  <c r="F22" i="2"/>
  <c r="F16" i="2"/>
  <c r="K14" i="2"/>
  <c r="F14" i="2"/>
  <c r="K13" i="2"/>
  <c r="F13" i="2"/>
  <c r="K12" i="2"/>
  <c r="F12" i="2"/>
  <c r="K11" i="2"/>
  <c r="F11" i="2"/>
  <c r="K10" i="2"/>
  <c r="F10" i="2"/>
  <c r="K9" i="2"/>
  <c r="K17" i="2" s="1"/>
  <c r="F9" i="2"/>
  <c r="F17" i="2" s="1"/>
  <c r="K8" i="2"/>
  <c r="F8" i="2"/>
  <c r="K33" i="1"/>
  <c r="F33" i="1"/>
  <c r="K32" i="1"/>
  <c r="F32" i="1"/>
  <c r="K31" i="1"/>
  <c r="F31" i="1"/>
  <c r="K30" i="1"/>
  <c r="F30" i="1"/>
  <c r="K29" i="1"/>
  <c r="K37" i="1" s="1"/>
  <c r="F29" i="1"/>
  <c r="K28" i="1"/>
  <c r="K36" i="1" s="1"/>
  <c r="F28" i="1"/>
  <c r="K27" i="1"/>
  <c r="F27" i="1"/>
  <c r="K19" i="1"/>
  <c r="F19" i="1"/>
  <c r="K18" i="1"/>
  <c r="F18" i="1"/>
  <c r="K17" i="1"/>
  <c r="F17" i="1"/>
  <c r="K16" i="1"/>
  <c r="F16" i="1"/>
  <c r="K15" i="1"/>
  <c r="K23" i="1" s="1"/>
  <c r="F15" i="1"/>
  <c r="F23" i="1" s="1"/>
  <c r="K14" i="1"/>
  <c r="K22" i="1" s="1"/>
  <c r="F14" i="1"/>
  <c r="K13" i="1"/>
  <c r="F13" i="1"/>
  <c r="K17" i="7" l="1"/>
  <c r="F17" i="7"/>
  <c r="K55" i="6"/>
  <c r="K40" i="6"/>
  <c r="F40" i="6"/>
  <c r="F53" i="6"/>
  <c r="K54" i="6"/>
  <c r="F41" i="6"/>
  <c r="F55" i="6"/>
  <c r="F38" i="6"/>
  <c r="F68" i="5"/>
  <c r="F84" i="5"/>
  <c r="F71" i="5"/>
  <c r="F70" i="5"/>
  <c r="F83" i="5"/>
  <c r="F85" i="5"/>
  <c r="F15" i="4"/>
  <c r="F32" i="4"/>
  <c r="K18" i="4"/>
  <c r="F17" i="4"/>
  <c r="F37" i="1"/>
  <c r="F21" i="1"/>
  <c r="F22" i="1"/>
  <c r="F34" i="1"/>
  <c r="F36" i="1"/>
  <c r="K21" i="1"/>
  <c r="K34" i="1"/>
  <c r="K16" i="2"/>
  <c r="K29" i="2"/>
  <c r="K16" i="3"/>
  <c r="K15" i="4"/>
  <c r="K30" i="4"/>
  <c r="K38" i="6"/>
  <c r="K53" i="6"/>
  <c r="K15" i="7"/>
  <c r="K30" i="7"/>
  <c r="F20" i="1"/>
  <c r="F35" i="1"/>
  <c r="F15" i="2"/>
  <c r="F30" i="2"/>
  <c r="F15" i="3"/>
  <c r="F16" i="4"/>
  <c r="F29" i="4"/>
  <c r="F69" i="5"/>
  <c r="F82" i="5"/>
  <c r="F39" i="6"/>
  <c r="F52" i="6"/>
  <c r="F16" i="7"/>
  <c r="F29" i="7"/>
  <c r="K20" i="1"/>
  <c r="K35" i="1"/>
  <c r="K15" i="2"/>
  <c r="K30" i="2"/>
  <c r="K15" i="3"/>
  <c r="K16" i="4"/>
  <c r="K29" i="4"/>
  <c r="K39" i="6"/>
  <c r="K52" i="6"/>
  <c r="K16" i="7"/>
  <c r="K29" i="7"/>
</calcChain>
</file>

<file path=xl/sharedStrings.xml><?xml version="1.0" encoding="utf-8"?>
<sst xmlns="http://schemas.openxmlformats.org/spreadsheetml/2006/main" count="1794" uniqueCount="357">
  <si>
    <t>Class</t>
  </si>
  <si>
    <t>Name</t>
  </si>
  <si>
    <t>Adduct</t>
  </si>
  <si>
    <t>LDA</t>
  </si>
  <si>
    <t>LipidBlast</t>
  </si>
  <si>
    <t>LDA-Code</t>
  </si>
  <si>
    <t>LB-Code</t>
  </si>
  <si>
    <t>Structure</t>
  </si>
  <si>
    <t>LDAMS2-Ignore</t>
  </si>
  <si>
    <t>LBMS2-Ignore</t>
  </si>
  <si>
    <t>RT-ideal</t>
  </si>
  <si>
    <t>RT-LDA</t>
  </si>
  <si>
    <t>RT-LB</t>
  </si>
  <si>
    <t>LB-Prob</t>
  </si>
  <si>
    <t>Comment</t>
  </si>
  <si>
    <t>LDAMS1-Ignore</t>
  </si>
  <si>
    <t>LBMS1-Ignore</t>
  </si>
  <si>
    <t/>
  </si>
  <si>
    <t>PI</t>
  </si>
  <si>
    <t>34:2</t>
  </si>
  <si>
    <t>-H</t>
  </si>
  <si>
    <t>not reported</t>
  </si>
  <si>
    <t>22.1</t>
  </si>
  <si>
    <t>36:3</t>
  </si>
  <si>
    <t>22.6</t>
  </si>
  <si>
    <t>22.64</t>
  </si>
  <si>
    <t>36:4</t>
  </si>
  <si>
    <t>16:0/20:4</t>
  </si>
  <si>
    <t>22.0</t>
  </si>
  <si>
    <t xml:space="preserve">22.05 </t>
  </si>
  <si>
    <t>37:4</t>
  </si>
  <si>
    <t>17:0/20:4</t>
  </si>
  <si>
    <t>22.8</t>
  </si>
  <si>
    <t xml:space="preserve">22.89 </t>
  </si>
  <si>
    <t>38:4</t>
  </si>
  <si>
    <t>18:0/20:4</t>
  </si>
  <si>
    <t>23.8</t>
  </si>
  <si>
    <t xml:space="preserve">23.76 </t>
  </si>
  <si>
    <t>23.91955</t>
  </si>
  <si>
    <t>38:5</t>
  </si>
  <si>
    <t>22.3</t>
  </si>
  <si>
    <t>40:6</t>
  </si>
  <si>
    <t>18:0/22:6</t>
  </si>
  <si>
    <t>23.3</t>
  </si>
  <si>
    <t xml:space="preserve">23.39 </t>
  </si>
  <si>
    <t>Species evaluation</t>
  </si>
  <si>
    <t>Species evaluation - adduct insensitive</t>
  </si>
  <si>
    <t>Total number of identified species:</t>
  </si>
  <si>
    <t>Total number of identified LDA species:</t>
  </si>
  <si>
    <t>Total number of identified LipidBlast species:</t>
  </si>
  <si>
    <t>False positives LDA:</t>
  </si>
  <si>
    <t>False positives LipidBlast:</t>
  </si>
  <si>
    <t>False negatives LDA:</t>
  </si>
  <si>
    <t>False negatives LipidBlast:</t>
  </si>
  <si>
    <t>Sensitivity LDA:</t>
  </si>
  <si>
    <t>Sensitivity LipidBlast</t>
  </si>
  <si>
    <t>Sensitivity LipidBlast:</t>
  </si>
  <si>
    <t>Positive Predictive Value LDA:</t>
  </si>
  <si>
    <t>Positive Predictive Value LipidBlast:</t>
  </si>
  <si>
    <t>Molecular species/structure evaluation</t>
  </si>
  <si>
    <t>Molecular species/structure evaluation - adduct insensitive:</t>
  </si>
  <si>
    <t>Legend:</t>
  </si>
  <si>
    <t>the name is green if the species is correct</t>
  </si>
  <si>
    <t>the name is red if it is a false positive</t>
  </si>
  <si>
    <t>the LDA/LipidBLAST columns are green, if the hit was found</t>
  </si>
  <si>
    <t>the LDA/LipidBLAST column are cyan, if the hit was found additionally at a wrong RT</t>
  </si>
  <si>
    <t>the LDA/LipidBLAST column are orange, if the hit was found only at a wrong RT</t>
  </si>
  <si>
    <t>the LDA/LipidBLAST column are red, if the hit was not reported at all or if the hit is an FP</t>
  </si>
  <si>
    <t>Identification Codes:</t>
  </si>
  <si>
    <t>2: correctly identified without any FPs</t>
  </si>
  <si>
    <t>1: correct hit found, but FPs at wrong retention times are reported</t>
  </si>
  <si>
    <t>0: identified only by MS1, or FP not detected</t>
  </si>
  <si>
    <t>-1: false negative hit</t>
  </si>
  <si>
    <t>-2: false positive hit</t>
  </si>
  <si>
    <t>-3: false negative and false positive hit, e.g., hit at correct RT not found, but something at wrong RT reported</t>
  </si>
  <si>
    <t>P-PE</t>
  </si>
  <si>
    <t>P-16:0/20:4</t>
  </si>
  <si>
    <t>25.8</t>
  </si>
  <si>
    <t xml:space="preserve">25.75 </t>
  </si>
  <si>
    <t>P-18:0/20:4</t>
  </si>
  <si>
    <t>27.3</t>
  </si>
  <si>
    <t xml:space="preserve">27.35 </t>
  </si>
  <si>
    <t>38:8_FP</t>
  </si>
  <si>
    <t>38:8</t>
  </si>
  <si>
    <t>LPE</t>
  </si>
  <si>
    <t>16:0</t>
  </si>
  <si>
    <t>7.5</t>
  </si>
  <si>
    <t>7.63</t>
  </si>
  <si>
    <t>18:0</t>
  </si>
  <si>
    <t>11.0</t>
  </si>
  <si>
    <t>11.07</t>
  </si>
  <si>
    <t>20:4</t>
  </si>
  <si>
    <t>5.4</t>
  </si>
  <si>
    <t>6.04</t>
  </si>
  <si>
    <t>PS</t>
  </si>
  <si>
    <t>24.3</t>
  </si>
  <si>
    <t xml:space="preserve">24.14 </t>
  </si>
  <si>
    <t>24.16845</t>
  </si>
  <si>
    <t>22:6/18:0 18:0/22:6</t>
  </si>
  <si>
    <t>24.1</t>
  </si>
  <si>
    <t xml:space="preserve">23.89 </t>
  </si>
  <si>
    <t>24.00305 24.00305</t>
  </si>
  <si>
    <t>PC</t>
  </si>
  <si>
    <t>32:0_noMS2</t>
  </si>
  <si>
    <t>HCOO</t>
  </si>
  <si>
    <t>32:0</t>
  </si>
  <si>
    <t>26.3</t>
  </si>
  <si>
    <t>26.37</t>
  </si>
  <si>
    <t>not counted: only MS1 identification</t>
  </si>
  <si>
    <t>-CH3</t>
  </si>
  <si>
    <t>26.25</t>
  </si>
  <si>
    <t>33:0_noMS2</t>
  </si>
  <si>
    <t>33:0</t>
  </si>
  <si>
    <t>27.1</t>
  </si>
  <si>
    <t>27.10</t>
  </si>
  <si>
    <t>33:1_noMS2</t>
  </si>
  <si>
    <t>33:1</t>
  </si>
  <si>
    <t>25.87</t>
  </si>
  <si>
    <t>33:2_noMS2</t>
  </si>
  <si>
    <t>33:2</t>
  </si>
  <si>
    <t>24.51</t>
  </si>
  <si>
    <t>34:0_noMS2</t>
  </si>
  <si>
    <t>34:0</t>
  </si>
  <si>
    <t>28.1</t>
  </si>
  <si>
    <t>28.23</t>
  </si>
  <si>
    <t>34:1</t>
  </si>
  <si>
    <t>16:0/18:1</t>
  </si>
  <si>
    <t>26.5</t>
  </si>
  <si>
    <t xml:space="preserve">26.60 </t>
  </si>
  <si>
    <t>26.57720</t>
  </si>
  <si>
    <t>16:0/18:2</t>
  </si>
  <si>
    <t>25.1</t>
  </si>
  <si>
    <t xml:space="preserve">25.26 </t>
  </si>
  <si>
    <t>34:3_noMS2</t>
  </si>
  <si>
    <t>34:3</t>
  </si>
  <si>
    <t>24.0</t>
  </si>
  <si>
    <t>24.14</t>
  </si>
  <si>
    <t>24.01</t>
  </si>
  <si>
    <t>35:2</t>
  </si>
  <si>
    <t>17:0/18:2</t>
  </si>
  <si>
    <t>26.1</t>
  </si>
  <si>
    <t xml:space="preserve">26.25 </t>
  </si>
  <si>
    <t>17:1/18:1</t>
  </si>
  <si>
    <t>35:2_noMS2</t>
  </si>
  <si>
    <t>36:1</t>
  </si>
  <si>
    <t>18:0/18:1</t>
  </si>
  <si>
    <t>28.5</t>
  </si>
  <si>
    <t xml:space="preserve">28.60 </t>
  </si>
  <si>
    <t>28.75240</t>
  </si>
  <si>
    <t xml:space="preserve">28.46 </t>
  </si>
  <si>
    <t>36:2</t>
  </si>
  <si>
    <t>18:0/18:2</t>
  </si>
  <si>
    <t xml:space="preserve">26.98 </t>
  </si>
  <si>
    <t>26.83873 27.12962 27.37915 27.62818 27.87825</t>
  </si>
  <si>
    <t>16:0/20:3</t>
  </si>
  <si>
    <t>25.6</t>
  </si>
  <si>
    <t>18:1/18:2</t>
  </si>
  <si>
    <t>25.56045 25.77848 25.98647</t>
  </si>
  <si>
    <t>24.8</t>
  </si>
  <si>
    <t xml:space="preserve">25.01 </t>
  </si>
  <si>
    <t>24.94438</t>
  </si>
  <si>
    <t>24.99680</t>
  </si>
  <si>
    <t>37:2_noMS2</t>
  </si>
  <si>
    <t>37:2</t>
  </si>
  <si>
    <t>28.0</t>
  </si>
  <si>
    <t>27.98</t>
  </si>
  <si>
    <t>20:4_17:0</t>
  </si>
  <si>
    <t xml:space="preserve">26.00 </t>
  </si>
  <si>
    <t>38:3</t>
  </si>
  <si>
    <t>18:0/20:3</t>
  </si>
  <si>
    <t>20:3/18:0 18:0/20:3</t>
  </si>
  <si>
    <t>27.6</t>
  </si>
  <si>
    <t xml:space="preserve">27.60 </t>
  </si>
  <si>
    <t>27.50362 27.75310 27.50362 27.75310</t>
  </si>
  <si>
    <t xml:space="preserve">27.73 </t>
  </si>
  <si>
    <t>26.6</t>
  </si>
  <si>
    <t xml:space="preserve">26.73 </t>
  </si>
  <si>
    <t>26.59722 26.87995 27.18525 27.4348</t>
  </si>
  <si>
    <t>18:1/20:4</t>
  </si>
  <si>
    <t>25.3</t>
  </si>
  <si>
    <t xml:space="preserve">25.50 </t>
  </si>
  <si>
    <t>25.46360</t>
  </si>
  <si>
    <t>38:6</t>
  </si>
  <si>
    <t>16:0/22:6</t>
  </si>
  <si>
    <t>22:6/16:0 16:0/22:6</t>
  </si>
  <si>
    <t>24.6</t>
  </si>
  <si>
    <t xml:space="preserve">24.64 </t>
  </si>
  <si>
    <t>24.66722 24.66722</t>
  </si>
  <si>
    <t>18:2/20:4</t>
  </si>
  <si>
    <t>22:6/16:0</t>
  </si>
  <si>
    <t>24.59818 24.79203</t>
  </si>
  <si>
    <t>39:6_noMS2</t>
  </si>
  <si>
    <t>39:6</t>
  </si>
  <si>
    <t>25.50</t>
  </si>
  <si>
    <t>40:4_noMS2</t>
  </si>
  <si>
    <t>40:4</t>
  </si>
  <si>
    <t>28.71</t>
  </si>
  <si>
    <t>40:5_noMS2</t>
  </si>
  <si>
    <t>40:5</t>
  </si>
  <si>
    <t>27.60</t>
  </si>
  <si>
    <t>27.73</t>
  </si>
  <si>
    <t>22:6_18:0</t>
  </si>
  <si>
    <t>26.15242 26.42980 26.15242 26.42980</t>
  </si>
  <si>
    <t>40:7</t>
  </si>
  <si>
    <t>18:1/22:6</t>
  </si>
  <si>
    <t>22:6_18:1</t>
  </si>
  <si>
    <t xml:space="preserve">24.89 </t>
  </si>
  <si>
    <t>24.87545</t>
  </si>
  <si>
    <t>40:7_noMS2</t>
  </si>
  <si>
    <t>24.89</t>
  </si>
  <si>
    <t>40:8_noMS2</t>
  </si>
  <si>
    <t>40:8</t>
  </si>
  <si>
    <t>23.89</t>
  </si>
  <si>
    <t>41:6_noMS2</t>
  </si>
  <si>
    <t>41:6</t>
  </si>
  <si>
    <t>27.0</t>
  </si>
  <si>
    <t>26.50 27.35</t>
  </si>
  <si>
    <t>42:7_noMS2</t>
  </si>
  <si>
    <t>42:7</t>
  </si>
  <si>
    <t>26.85</t>
  </si>
  <si>
    <t>42:9_noMS2</t>
  </si>
  <si>
    <t>42:9</t>
  </si>
  <si>
    <t>42:10_noMS2</t>
  </si>
  <si>
    <t>42:10</t>
  </si>
  <si>
    <t>23.51</t>
  </si>
  <si>
    <t>PE</t>
  </si>
  <si>
    <t>24:0</t>
  </si>
  <si>
    <t>12:0/12:0</t>
  </si>
  <si>
    <t>17.6</t>
  </si>
  <si>
    <t xml:space="preserve">17.69 </t>
  </si>
  <si>
    <t>25.0</t>
  </si>
  <si>
    <t>27.8</t>
  </si>
  <si>
    <t xml:space="preserve">27.85 </t>
  </si>
  <si>
    <t>27.78097</t>
  </si>
  <si>
    <t>16:0/20:1</t>
  </si>
  <si>
    <t>20:1_16:0</t>
  </si>
  <si>
    <t>18:2_18:1</t>
  </si>
  <si>
    <t xml:space="preserve">25.37 </t>
  </si>
  <si>
    <t>24.91657</t>
  </si>
  <si>
    <t>18:2/18:2</t>
  </si>
  <si>
    <t>36:5</t>
  </si>
  <si>
    <t>16:1/20:4</t>
  </si>
  <si>
    <t>20:4_16:1</t>
  </si>
  <si>
    <t>23.5</t>
  </si>
  <si>
    <t xml:space="preserve">23.51 </t>
  </si>
  <si>
    <t>37:4_noMS2</t>
  </si>
  <si>
    <t>25.75</t>
  </si>
  <si>
    <t>27.23</t>
  </si>
  <si>
    <t xml:space="preserve">26.50 </t>
  </si>
  <si>
    <t xml:space="preserve">24.39 </t>
  </si>
  <si>
    <t>24.54253 24.54253</t>
  </si>
  <si>
    <t>20:4_18:2</t>
  </si>
  <si>
    <t>23.97523</t>
  </si>
  <si>
    <t>38:7</t>
  </si>
  <si>
    <t>16:1/22:6</t>
  </si>
  <si>
    <t>23.1</t>
  </si>
  <si>
    <t xml:space="preserve">23.14 </t>
  </si>
  <si>
    <t>24:2/14:5_FP</t>
  </si>
  <si>
    <t>24:2/14:5</t>
  </si>
  <si>
    <t>39:4_noMS2</t>
  </si>
  <si>
    <t>39:4</t>
  </si>
  <si>
    <t>18:0_22:6</t>
  </si>
  <si>
    <t>26.0</t>
  </si>
  <si>
    <t>24.59818 26.02768 26.33290 24.59818 26.02768 26.33290</t>
  </si>
  <si>
    <t xml:space="preserve">24.76 </t>
  </si>
  <si>
    <t>24.72287</t>
  </si>
  <si>
    <t>40:9_noMS2</t>
  </si>
  <si>
    <t>40:9</t>
  </si>
  <si>
    <t>PG</t>
  </si>
  <si>
    <t>23.0</t>
  </si>
  <si>
    <t xml:space="preserve">23.01 </t>
  </si>
  <si>
    <t>38:4_FP</t>
  </si>
  <si>
    <t>LDA: too less fragments found to verify 16:0</t>
  </si>
  <si>
    <t>LDA: chains removed by rules</t>
  </si>
  <si>
    <t>LDA: FP</t>
  </si>
  <si>
    <t>NA</t>
  </si>
  <si>
    <t>LDA: MS1 quantitation - 3D algorithm</t>
  </si>
  <si>
    <t>16:0/22:5</t>
  </si>
  <si>
    <t>LDA: chain cutoff</t>
  </si>
  <si>
    <t>LDA: peak is overlapped by an isotopic peak</t>
  </si>
  <si>
    <t>18:1/22:5</t>
  </si>
  <si>
    <t>LB: there are whether for 18:1 nor for 22:5 fragments present, but it has been found on other platforms -&gt; correct</t>
  </si>
  <si>
    <t>LDA: removed by head rule "NL_PChead_60&lt;0.2*Precursor"</t>
  </si>
  <si>
    <t>20:5/20:4</t>
  </si>
  <si>
    <t>LDA: removed by rule "NL_PChead_60&gt;0.5*Precursor"</t>
  </si>
  <si>
    <t>38:2</t>
  </si>
  <si>
    <t>29.43282 29.77990</t>
  </si>
  <si>
    <t>LB: the peak seems to be OK, although a little bit late</t>
  </si>
  <si>
    <t>LDA: FP chain</t>
  </si>
  <si>
    <t>LB: the spectrum before 25min belong to the second isotopic peak of PE40:7</t>
  </si>
  <si>
    <t>18:2/22:6</t>
  </si>
  <si>
    <t>23.6</t>
  </si>
  <si>
    <t>LDA: removed by MS1 algorithm; +1 isotopic peak is stronger than +0 peak</t>
  </si>
  <si>
    <t>LDA: retention time impossible</t>
  </si>
  <si>
    <t>LDA: removed since no head group fragments were found</t>
  </si>
  <si>
    <t>Species evaluation - every adduct is counted independently</t>
  </si>
  <si>
    <t>LDA MS1 identified</t>
  </si>
  <si>
    <t>LBlast MS1 identified</t>
  </si>
  <si>
    <t>LDA MS1 PPV</t>
  </si>
  <si>
    <t>LBlast MS1 PPV</t>
  </si>
  <si>
    <t>LDA MS2 identified</t>
  </si>
  <si>
    <t>LBlast MS2 identified</t>
  </si>
  <si>
    <t>LDA MS2 PPV</t>
  </si>
  <si>
    <t>LBlast MS2 PPV</t>
  </si>
  <si>
    <t>7/8</t>
  </si>
  <si>
    <t>1/8</t>
  </si>
  <si>
    <t>7/7</t>
  </si>
  <si>
    <t>1/1</t>
  </si>
  <si>
    <t>4/7</t>
  </si>
  <si>
    <t>1/7</t>
  </si>
  <si>
    <t>4/4</t>
  </si>
  <si>
    <t>2/2</t>
  </si>
  <si>
    <t>0/2</t>
  </si>
  <si>
    <t>2/3</t>
  </si>
  <si>
    <t>3/3</t>
  </si>
  <si>
    <t>0/3</t>
  </si>
  <si>
    <t>23/27</t>
  </si>
  <si>
    <t>13/27</t>
  </si>
  <si>
    <t>23/23</t>
  </si>
  <si>
    <t>13/15</t>
  </si>
  <si>
    <t>27/32</t>
  </si>
  <si>
    <t>13/32</t>
  </si>
  <si>
    <t>27/27</t>
  </si>
  <si>
    <t>13/14</t>
  </si>
  <si>
    <t>5/14</t>
  </si>
  <si>
    <t>13/13</t>
  </si>
  <si>
    <t>5/6</t>
  </si>
  <si>
    <t>16/18</t>
  </si>
  <si>
    <t>6/18</t>
  </si>
  <si>
    <t>16/17</t>
  </si>
  <si>
    <t>6/7</t>
  </si>
  <si>
    <t>1/2</t>
  </si>
  <si>
    <t>Cer</t>
  </si>
  <si>
    <t>no MS/MS</t>
  </si>
  <si>
    <t>Total</t>
  </si>
  <si>
    <t>51/59</t>
  </si>
  <si>
    <t>21/59</t>
  </si>
  <si>
    <t>51/53</t>
  </si>
  <si>
    <t>21/24</t>
  </si>
  <si>
    <t>52/64</t>
  </si>
  <si>
    <t>22/64</t>
  </si>
  <si>
    <t>52/54</t>
  </si>
  <si>
    <t>22/25</t>
  </si>
  <si>
    <t>14/16</t>
  </si>
  <si>
    <t>11/16</t>
  </si>
  <si>
    <t>14/14</t>
  </si>
  <si>
    <t>11/13</t>
  </si>
  <si>
    <t>17/20</t>
  </si>
  <si>
    <t>11/20</t>
  </si>
  <si>
    <t>17/17</t>
  </si>
  <si>
    <t>42/48</t>
  </si>
  <si>
    <t>19/48</t>
  </si>
  <si>
    <t>42/44</t>
  </si>
  <si>
    <t>19/22</t>
  </si>
  <si>
    <t>42/52</t>
  </si>
  <si>
    <t>20/52</t>
  </si>
  <si>
    <t>20/23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</si>
</sst>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indexed="8"/>
      <name val="Calibri"/>
      <family val="2"/>
      <scheme val="minor"/>
    </font>
    <font>
      <sz val="11"/>
      <color rgb="FF00C000"/>
      <name val="Calibri"/>
      <family val="2"/>
    </font>
    <font>
      <b/>
      <sz val="12"/>
      <name val="Arial"/>
      <family val="2"/>
    </font>
    <font>
      <b/>
      <sz val="11"/>
      <name val="Calibri"/>
      <family val="2"/>
    </font>
    <font>
      <sz val="11"/>
      <color rgb="FFFF0000"/>
      <name val="Calibri"/>
      <family val="2"/>
    </font>
    <font>
      <sz val="11"/>
      <color rgb="FF00FFFF"/>
      <name val="Calibri"/>
      <family val="2"/>
    </font>
    <font>
      <sz val="11"/>
      <color rgb="FFFFC800"/>
      <name val="Calibri"/>
      <family val="2"/>
    </font>
    <font>
      <sz val="11"/>
      <color rgb="FF00C000"/>
      <name val="Calibri"/>
      <family val="2"/>
    </font>
    <font>
      <sz val="11"/>
      <color rgb="FFFF0000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sz val="12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9" fontId="0" fillId="0" borderId="0" xfId="0" applyNumberFormat="1"/>
    <xf numFmtId="49" fontId="1" fillId="0" borderId="0" xfId="0" applyNumberFormat="1" applyFont="1"/>
    <xf numFmtId="9" fontId="0" fillId="0" borderId="0" xfId="0" applyNumberFormat="1" applyAlignment="1">
      <alignment horizontal="right"/>
    </xf>
    <xf numFmtId="49" fontId="7" fillId="0" borderId="0" xfId="0" applyNumberFormat="1" applyFont="1"/>
    <xf numFmtId="0" fontId="9" fillId="0" borderId="0" xfId="0" applyFont="1"/>
    <xf numFmtId="0" fontId="10" fillId="0" borderId="0" xfId="0" applyFont="1" applyAlignment="1">
      <alignment horizontal="left"/>
    </xf>
    <xf numFmtId="49" fontId="11" fillId="0" borderId="0" xfId="0" applyNumberFormat="1" applyFont="1" applyAlignment="1">
      <alignment horizontal="center"/>
    </xf>
    <xf numFmtId="9" fontId="11" fillId="0" borderId="0" xfId="0" applyNumberFormat="1" applyFont="1" applyAlignment="1">
      <alignment horizontal="center"/>
    </xf>
    <xf numFmtId="49" fontId="11" fillId="0" borderId="0" xfId="0" applyNumberFormat="1" applyFont="1" applyAlignment="1">
      <alignment horizontal="left"/>
    </xf>
    <xf numFmtId="0" fontId="11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49" fontId="8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49" fontId="0" fillId="0" borderId="0" xfId="0" applyNumberFormat="1"/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"/>
  <sheetViews>
    <sheetView tabSelected="1" workbookViewId="0">
      <selection activeCell="I34" sqref="I34"/>
    </sheetView>
  </sheetViews>
  <sheetFormatPr baseColWidth="10" defaultRowHeight="15" x14ac:dyDescent="0.25"/>
  <sheetData>
    <row r="1" spans="1:17" ht="18.75" x14ac:dyDescent="0.3">
      <c r="A1" s="12" t="s">
        <v>295</v>
      </c>
    </row>
    <row r="2" spans="1:17" ht="15.75" x14ac:dyDescent="0.25">
      <c r="A2" s="13"/>
    </row>
    <row r="3" spans="1:17" ht="15.75" x14ac:dyDescent="0.25">
      <c r="B3" s="24" t="s">
        <v>296</v>
      </c>
      <c r="C3" s="24"/>
      <c r="D3" s="24" t="s">
        <v>297</v>
      </c>
      <c r="E3" s="24"/>
      <c r="F3" s="24" t="s">
        <v>298</v>
      </c>
      <c r="G3" s="24"/>
      <c r="H3" s="24" t="s">
        <v>299</v>
      </c>
      <c r="I3" s="24"/>
      <c r="J3" s="24" t="s">
        <v>300</v>
      </c>
      <c r="K3" s="24"/>
      <c r="L3" s="24" t="s">
        <v>301</v>
      </c>
      <c r="M3" s="24"/>
      <c r="N3" s="24" t="s">
        <v>302</v>
      </c>
      <c r="O3" s="24"/>
      <c r="P3" s="24" t="s">
        <v>303</v>
      </c>
      <c r="Q3" s="24"/>
    </row>
    <row r="4" spans="1:17" ht="15.75" x14ac:dyDescent="0.25">
      <c r="A4" s="13" t="s">
        <v>18</v>
      </c>
      <c r="B4" s="14" t="s">
        <v>304</v>
      </c>
      <c r="C4" s="15">
        <f>7/8</f>
        <v>0.875</v>
      </c>
      <c r="D4" s="14" t="s">
        <v>305</v>
      </c>
      <c r="E4" s="15">
        <f>1/8</f>
        <v>0.125</v>
      </c>
      <c r="F4" s="14" t="s">
        <v>306</v>
      </c>
      <c r="G4" s="15">
        <f>7/7</f>
        <v>1</v>
      </c>
      <c r="H4" s="14" t="s">
        <v>307</v>
      </c>
      <c r="I4" s="15">
        <f>1/1</f>
        <v>1</v>
      </c>
      <c r="J4" s="14" t="s">
        <v>308</v>
      </c>
      <c r="K4" s="15">
        <f>4/7</f>
        <v>0.5714285714285714</v>
      </c>
      <c r="L4" s="14" t="s">
        <v>309</v>
      </c>
      <c r="M4" s="15">
        <f>1/7</f>
        <v>0.14285714285714285</v>
      </c>
      <c r="N4" s="14" t="s">
        <v>310</v>
      </c>
      <c r="O4" s="15">
        <f>4/4</f>
        <v>1</v>
      </c>
      <c r="P4" s="14" t="s">
        <v>307</v>
      </c>
      <c r="Q4" s="15">
        <f>1/1</f>
        <v>1</v>
      </c>
    </row>
    <row r="5" spans="1:17" ht="15.75" x14ac:dyDescent="0.25">
      <c r="A5" s="13" t="s">
        <v>75</v>
      </c>
      <c r="B5" s="14" t="s">
        <v>311</v>
      </c>
      <c r="C5" s="15">
        <f>2/2</f>
        <v>1</v>
      </c>
      <c r="D5" s="14" t="s">
        <v>312</v>
      </c>
      <c r="E5" s="15">
        <f>0/2</f>
        <v>0</v>
      </c>
      <c r="F5" s="14" t="s">
        <v>313</v>
      </c>
      <c r="G5" s="15">
        <f>2/3</f>
        <v>0.66666666666666663</v>
      </c>
      <c r="H5" s="14" t="s">
        <v>275</v>
      </c>
      <c r="I5" s="14" t="s">
        <v>275</v>
      </c>
      <c r="J5" s="14" t="s">
        <v>311</v>
      </c>
      <c r="K5" s="15">
        <f>2/2</f>
        <v>1</v>
      </c>
      <c r="L5" s="14" t="s">
        <v>312</v>
      </c>
      <c r="M5" s="15">
        <f>0/2</f>
        <v>0</v>
      </c>
      <c r="N5" s="14" t="s">
        <v>311</v>
      </c>
      <c r="O5" s="15">
        <f>2/2</f>
        <v>1</v>
      </c>
      <c r="P5" s="14" t="s">
        <v>275</v>
      </c>
      <c r="Q5" s="14" t="s">
        <v>275</v>
      </c>
    </row>
    <row r="6" spans="1:17" ht="15.75" x14ac:dyDescent="0.25">
      <c r="A6" s="13" t="s">
        <v>84</v>
      </c>
      <c r="B6" s="14" t="s">
        <v>314</v>
      </c>
      <c r="C6" s="15">
        <f>3/3</f>
        <v>1</v>
      </c>
      <c r="D6" s="14" t="s">
        <v>315</v>
      </c>
      <c r="E6" s="15">
        <f>0/3</f>
        <v>0</v>
      </c>
      <c r="F6" s="14" t="s">
        <v>314</v>
      </c>
      <c r="G6" s="15">
        <f>3/3</f>
        <v>1</v>
      </c>
      <c r="H6" s="14" t="s">
        <v>275</v>
      </c>
      <c r="I6" s="14" t="s">
        <v>275</v>
      </c>
      <c r="J6" s="14" t="s">
        <v>275</v>
      </c>
      <c r="K6" s="14" t="s">
        <v>275</v>
      </c>
      <c r="L6" s="14" t="s">
        <v>275</v>
      </c>
      <c r="M6" s="14" t="s">
        <v>275</v>
      </c>
      <c r="N6" s="14" t="s">
        <v>275</v>
      </c>
      <c r="O6" s="14" t="s">
        <v>275</v>
      </c>
      <c r="P6" s="14" t="s">
        <v>275</v>
      </c>
      <c r="Q6" s="14" t="s">
        <v>275</v>
      </c>
    </row>
    <row r="7" spans="1:17" ht="15.75" x14ac:dyDescent="0.25">
      <c r="A7" s="13" t="s">
        <v>94</v>
      </c>
      <c r="B7" s="14" t="s">
        <v>313</v>
      </c>
      <c r="C7" s="15">
        <f>2/3</f>
        <v>0.66666666666666663</v>
      </c>
      <c r="D7" s="14" t="s">
        <v>313</v>
      </c>
      <c r="E7" s="15">
        <f>2/3</f>
        <v>0.66666666666666663</v>
      </c>
      <c r="F7" s="14" t="s">
        <v>311</v>
      </c>
      <c r="G7" s="15">
        <f>2/2</f>
        <v>1</v>
      </c>
      <c r="H7" s="14" t="s">
        <v>311</v>
      </c>
      <c r="I7" s="15">
        <f>2/2</f>
        <v>1</v>
      </c>
      <c r="J7" s="14" t="s">
        <v>313</v>
      </c>
      <c r="K7" s="15">
        <f>2/3</f>
        <v>0.66666666666666663</v>
      </c>
      <c r="L7" s="14" t="s">
        <v>313</v>
      </c>
      <c r="M7" s="15">
        <f>2/3</f>
        <v>0.66666666666666663</v>
      </c>
      <c r="N7" s="14" t="s">
        <v>311</v>
      </c>
      <c r="O7" s="15">
        <f>2/2</f>
        <v>1</v>
      </c>
      <c r="P7" s="14" t="s">
        <v>311</v>
      </c>
      <c r="Q7" s="15">
        <f>2/2</f>
        <v>1</v>
      </c>
    </row>
    <row r="8" spans="1:17" ht="15.75" x14ac:dyDescent="0.25">
      <c r="A8" s="13" t="s">
        <v>102</v>
      </c>
      <c r="B8" s="14" t="s">
        <v>316</v>
      </c>
      <c r="C8" s="15">
        <f>23/27</f>
        <v>0.85185185185185186</v>
      </c>
      <c r="D8" s="14" t="s">
        <v>317</v>
      </c>
      <c r="E8" s="15">
        <f>13/27</f>
        <v>0.48148148148148145</v>
      </c>
      <c r="F8" s="14" t="s">
        <v>318</v>
      </c>
      <c r="G8" s="15">
        <f>23/23</f>
        <v>1</v>
      </c>
      <c r="H8" s="14" t="s">
        <v>319</v>
      </c>
      <c r="I8" s="15">
        <f>13/15</f>
        <v>0.8666666666666667</v>
      </c>
      <c r="J8" s="14" t="s">
        <v>320</v>
      </c>
      <c r="K8" s="15">
        <f>27/32</f>
        <v>0.84375</v>
      </c>
      <c r="L8" s="14" t="s">
        <v>321</v>
      </c>
      <c r="M8" s="15">
        <f>13/32</f>
        <v>0.40625</v>
      </c>
      <c r="N8" s="14" t="s">
        <v>322</v>
      </c>
      <c r="O8" s="15">
        <f>27/27</f>
        <v>1</v>
      </c>
      <c r="P8" s="14" t="s">
        <v>319</v>
      </c>
      <c r="Q8" s="15">
        <f>13/15</f>
        <v>0.8666666666666667</v>
      </c>
    </row>
    <row r="9" spans="1:17" ht="15.75" x14ac:dyDescent="0.25">
      <c r="A9" s="13" t="s">
        <v>225</v>
      </c>
      <c r="B9" s="14" t="s">
        <v>323</v>
      </c>
      <c r="C9" s="15">
        <f>13/14</f>
        <v>0.9285714285714286</v>
      </c>
      <c r="D9" s="14" t="s">
        <v>324</v>
      </c>
      <c r="E9" s="15">
        <f>5/14</f>
        <v>0.35714285714285715</v>
      </c>
      <c r="F9" s="14" t="s">
        <v>325</v>
      </c>
      <c r="G9" s="15">
        <f>13/13</f>
        <v>1</v>
      </c>
      <c r="H9" s="14" t="s">
        <v>326</v>
      </c>
      <c r="I9" s="15">
        <f>5/6</f>
        <v>0.83333333333333337</v>
      </c>
      <c r="J9" s="14" t="s">
        <v>327</v>
      </c>
      <c r="K9" s="15">
        <f>16/18</f>
        <v>0.88888888888888884</v>
      </c>
      <c r="L9" s="14" t="s">
        <v>328</v>
      </c>
      <c r="M9" s="15">
        <f>6/18</f>
        <v>0.33333333333333331</v>
      </c>
      <c r="N9" s="14" t="s">
        <v>329</v>
      </c>
      <c r="O9" s="15">
        <f>16/17</f>
        <v>0.94117647058823528</v>
      </c>
      <c r="P9" s="14" t="s">
        <v>330</v>
      </c>
      <c r="Q9" s="15">
        <f>6/7</f>
        <v>0.8571428571428571</v>
      </c>
    </row>
    <row r="10" spans="1:17" ht="15.75" x14ac:dyDescent="0.25">
      <c r="A10" s="13" t="s">
        <v>268</v>
      </c>
      <c r="B10" s="14" t="s">
        <v>331</v>
      </c>
      <c r="C10" s="15">
        <f>1/2</f>
        <v>0.5</v>
      </c>
      <c r="D10" s="14" t="s">
        <v>312</v>
      </c>
      <c r="E10" s="15">
        <f>0/2</f>
        <v>0</v>
      </c>
      <c r="F10" s="14" t="s">
        <v>331</v>
      </c>
      <c r="G10" s="15">
        <f>1/2</f>
        <v>0.5</v>
      </c>
      <c r="H10" s="14" t="s">
        <v>275</v>
      </c>
      <c r="I10" s="14" t="s">
        <v>275</v>
      </c>
      <c r="J10" s="14" t="s">
        <v>331</v>
      </c>
      <c r="K10" s="15">
        <f>1/2</f>
        <v>0.5</v>
      </c>
      <c r="L10" s="14" t="s">
        <v>312</v>
      </c>
      <c r="M10" s="15">
        <f>0/2</f>
        <v>0</v>
      </c>
      <c r="N10" s="14" t="s">
        <v>331</v>
      </c>
      <c r="O10" s="15">
        <f>1/2</f>
        <v>0.5</v>
      </c>
      <c r="P10" s="14" t="s">
        <v>275</v>
      </c>
      <c r="Q10" s="14" t="s">
        <v>275</v>
      </c>
    </row>
    <row r="11" spans="1:17" ht="15.75" x14ac:dyDescent="0.25">
      <c r="A11" s="13" t="s">
        <v>332</v>
      </c>
      <c r="B11" s="16" t="s">
        <v>333</v>
      </c>
      <c r="C11" s="17"/>
      <c r="D11" s="18"/>
      <c r="E11" s="18"/>
      <c r="F11" s="17"/>
      <c r="G11" s="17"/>
      <c r="H11" s="18"/>
      <c r="I11" s="18"/>
      <c r="J11" s="17"/>
      <c r="K11" s="17"/>
      <c r="L11" s="18"/>
      <c r="M11" s="18"/>
      <c r="N11" s="17"/>
      <c r="O11" s="17"/>
      <c r="P11" s="19"/>
      <c r="Q11" s="18"/>
    </row>
    <row r="12" spans="1:17" x14ac:dyDescent="0.25">
      <c r="B12" s="14"/>
      <c r="C12" s="17"/>
      <c r="D12" s="18"/>
      <c r="E12" s="18"/>
      <c r="F12" s="17"/>
      <c r="G12" s="17"/>
      <c r="H12" s="18"/>
      <c r="I12" s="18"/>
      <c r="J12" s="17"/>
      <c r="K12" s="17"/>
      <c r="L12" s="18"/>
      <c r="M12" s="18"/>
      <c r="N12" s="17"/>
      <c r="O12" s="17"/>
      <c r="P12" s="19"/>
      <c r="Q12" s="18"/>
    </row>
    <row r="13" spans="1:17" ht="15.75" x14ac:dyDescent="0.25">
      <c r="A13" s="13" t="s">
        <v>334</v>
      </c>
      <c r="B13" s="14" t="s">
        <v>335</v>
      </c>
      <c r="C13" s="15">
        <f>51/59</f>
        <v>0.86440677966101698</v>
      </c>
      <c r="D13" s="14" t="s">
        <v>336</v>
      </c>
      <c r="E13" s="15">
        <f>21/59</f>
        <v>0.3559322033898305</v>
      </c>
      <c r="F13" s="14" t="s">
        <v>337</v>
      </c>
      <c r="G13" s="15">
        <f>51/53</f>
        <v>0.96226415094339623</v>
      </c>
      <c r="H13" s="14" t="s">
        <v>338</v>
      </c>
      <c r="I13" s="15">
        <f>21/24</f>
        <v>0.875</v>
      </c>
      <c r="J13" s="14" t="s">
        <v>339</v>
      </c>
      <c r="K13" s="15">
        <f>52/64</f>
        <v>0.8125</v>
      </c>
      <c r="L13" s="14" t="s">
        <v>340</v>
      </c>
      <c r="M13" s="15">
        <f>22/64</f>
        <v>0.34375</v>
      </c>
      <c r="N13" s="14" t="s">
        <v>341</v>
      </c>
      <c r="O13" s="15">
        <f>52/54</f>
        <v>0.96296296296296291</v>
      </c>
      <c r="P13" s="14" t="s">
        <v>342</v>
      </c>
      <c r="Q13" s="15">
        <f>22/25</f>
        <v>0.88</v>
      </c>
    </row>
    <row r="14" spans="1:17" x14ac:dyDescent="0.25"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1"/>
      <c r="Q14" s="20"/>
    </row>
    <row r="15" spans="1:17" x14ac:dyDescent="0.25">
      <c r="P15" s="21"/>
      <c r="Q15" s="20"/>
    </row>
    <row r="16" spans="1:17" x14ac:dyDescent="0.25">
      <c r="P16" s="21"/>
      <c r="Q16" s="20"/>
    </row>
    <row r="17" spans="1:17" x14ac:dyDescent="0.25">
      <c r="P17" s="21"/>
      <c r="Q17" s="20"/>
    </row>
    <row r="18" spans="1:17" ht="18.75" x14ac:dyDescent="0.3">
      <c r="A18" s="12" t="s">
        <v>46</v>
      </c>
      <c r="P18" s="21"/>
      <c r="Q18" s="20"/>
    </row>
    <row r="19" spans="1:17" x14ac:dyDescent="0.25">
      <c r="P19" s="22"/>
    </row>
    <row r="20" spans="1:17" ht="15.75" x14ac:dyDescent="0.25">
      <c r="B20" s="24" t="s">
        <v>296</v>
      </c>
      <c r="C20" s="24"/>
      <c r="D20" s="24" t="s">
        <v>297</v>
      </c>
      <c r="E20" s="24"/>
      <c r="F20" s="24" t="s">
        <v>298</v>
      </c>
      <c r="G20" s="24"/>
      <c r="H20" s="24" t="s">
        <v>299</v>
      </c>
      <c r="I20" s="24"/>
      <c r="J20" s="24" t="s">
        <v>300</v>
      </c>
      <c r="K20" s="24"/>
      <c r="L20" s="24" t="s">
        <v>301</v>
      </c>
      <c r="M20" s="24"/>
      <c r="N20" s="24" t="s">
        <v>302</v>
      </c>
      <c r="O20" s="24"/>
      <c r="P20" s="24" t="s">
        <v>303</v>
      </c>
      <c r="Q20" s="24"/>
    </row>
    <row r="21" spans="1:17" ht="15.75" x14ac:dyDescent="0.25">
      <c r="A21" s="13" t="s">
        <v>18</v>
      </c>
      <c r="B21" s="14" t="s">
        <v>304</v>
      </c>
      <c r="C21" s="15">
        <f>7/8</f>
        <v>0.875</v>
      </c>
      <c r="D21" s="14" t="s">
        <v>305</v>
      </c>
      <c r="E21" s="15">
        <f>1/8</f>
        <v>0.125</v>
      </c>
      <c r="F21" s="14" t="s">
        <v>306</v>
      </c>
      <c r="G21" s="15">
        <f>7/7</f>
        <v>1</v>
      </c>
      <c r="H21" s="14" t="s">
        <v>307</v>
      </c>
      <c r="I21" s="15">
        <f>1/1</f>
        <v>1</v>
      </c>
      <c r="J21" s="14" t="s">
        <v>308</v>
      </c>
      <c r="K21" s="15">
        <f>4/7</f>
        <v>0.5714285714285714</v>
      </c>
      <c r="L21" s="14" t="s">
        <v>309</v>
      </c>
      <c r="M21" s="15">
        <f>1/7</f>
        <v>0.14285714285714285</v>
      </c>
      <c r="N21" s="14" t="s">
        <v>310</v>
      </c>
      <c r="O21" s="15">
        <f>4/4</f>
        <v>1</v>
      </c>
      <c r="P21" s="14" t="s">
        <v>307</v>
      </c>
      <c r="Q21" s="15">
        <f>1/1</f>
        <v>1</v>
      </c>
    </row>
    <row r="22" spans="1:17" ht="15.75" x14ac:dyDescent="0.25">
      <c r="A22" s="13" t="s">
        <v>75</v>
      </c>
      <c r="B22" s="14" t="s">
        <v>311</v>
      </c>
      <c r="C22" s="15">
        <f>2/2</f>
        <v>1</v>
      </c>
      <c r="D22" s="14" t="s">
        <v>312</v>
      </c>
      <c r="E22" s="15">
        <f>0/2</f>
        <v>0</v>
      </c>
      <c r="F22" s="14" t="s">
        <v>313</v>
      </c>
      <c r="G22" s="15">
        <f>2/3</f>
        <v>0.66666666666666663</v>
      </c>
      <c r="H22" s="14" t="s">
        <v>275</v>
      </c>
      <c r="I22" s="14" t="s">
        <v>275</v>
      </c>
      <c r="J22" s="14" t="s">
        <v>311</v>
      </c>
      <c r="K22" s="15">
        <f>2/2</f>
        <v>1</v>
      </c>
      <c r="L22" s="14" t="s">
        <v>312</v>
      </c>
      <c r="M22" s="15">
        <f>0/2</f>
        <v>0</v>
      </c>
      <c r="N22" s="14" t="s">
        <v>311</v>
      </c>
      <c r="O22" s="15">
        <f>2/2</f>
        <v>1</v>
      </c>
      <c r="P22" s="14" t="s">
        <v>275</v>
      </c>
      <c r="Q22" s="14" t="s">
        <v>275</v>
      </c>
    </row>
    <row r="23" spans="1:17" ht="15.75" x14ac:dyDescent="0.25">
      <c r="A23" s="13" t="s">
        <v>84</v>
      </c>
      <c r="B23" s="14" t="s">
        <v>314</v>
      </c>
      <c r="C23" s="15">
        <f>3/3</f>
        <v>1</v>
      </c>
      <c r="D23" s="14" t="s">
        <v>315</v>
      </c>
      <c r="E23" s="15">
        <f>0/3</f>
        <v>0</v>
      </c>
      <c r="F23" s="14" t="s">
        <v>314</v>
      </c>
      <c r="G23" s="15">
        <f>3/3</f>
        <v>1</v>
      </c>
      <c r="H23" s="14" t="s">
        <v>275</v>
      </c>
      <c r="I23" s="14" t="s">
        <v>275</v>
      </c>
      <c r="J23" s="14" t="s">
        <v>275</v>
      </c>
      <c r="K23" s="14" t="s">
        <v>275</v>
      </c>
      <c r="L23" s="14" t="s">
        <v>275</v>
      </c>
      <c r="M23" s="14" t="s">
        <v>275</v>
      </c>
      <c r="N23" s="14" t="s">
        <v>275</v>
      </c>
      <c r="O23" s="14" t="s">
        <v>275</v>
      </c>
      <c r="P23" s="14" t="s">
        <v>275</v>
      </c>
      <c r="Q23" s="14" t="s">
        <v>275</v>
      </c>
    </row>
    <row r="24" spans="1:17" ht="15.75" x14ac:dyDescent="0.25">
      <c r="A24" s="13" t="s">
        <v>94</v>
      </c>
      <c r="B24" s="14" t="s">
        <v>313</v>
      </c>
      <c r="C24" s="15">
        <f>2/3</f>
        <v>0.66666666666666663</v>
      </c>
      <c r="D24" s="14" t="s">
        <v>313</v>
      </c>
      <c r="E24" s="15">
        <f>2/3</f>
        <v>0.66666666666666663</v>
      </c>
      <c r="F24" s="14" t="s">
        <v>311</v>
      </c>
      <c r="G24" s="15">
        <f>2/2</f>
        <v>1</v>
      </c>
      <c r="H24" s="14" t="s">
        <v>311</v>
      </c>
      <c r="I24" s="15">
        <f>2/2</f>
        <v>1</v>
      </c>
      <c r="J24" s="14" t="s">
        <v>313</v>
      </c>
      <c r="K24" s="15">
        <f>2/3</f>
        <v>0.66666666666666663</v>
      </c>
      <c r="L24" s="14" t="s">
        <v>313</v>
      </c>
      <c r="M24" s="15">
        <f>2/3</f>
        <v>0.66666666666666663</v>
      </c>
      <c r="N24" s="14" t="s">
        <v>311</v>
      </c>
      <c r="O24" s="15">
        <f>2/2</f>
        <v>1</v>
      </c>
      <c r="P24" s="14" t="s">
        <v>311</v>
      </c>
      <c r="Q24" s="15">
        <f>2/2</f>
        <v>1</v>
      </c>
    </row>
    <row r="25" spans="1:17" ht="15.75" x14ac:dyDescent="0.25">
      <c r="A25" s="13" t="s">
        <v>102</v>
      </c>
      <c r="B25" s="14" t="s">
        <v>343</v>
      </c>
      <c r="C25" s="15">
        <f>14/16</f>
        <v>0.875</v>
      </c>
      <c r="D25" s="14" t="s">
        <v>344</v>
      </c>
      <c r="E25" s="15">
        <f>11/16</f>
        <v>0.6875</v>
      </c>
      <c r="F25" s="14" t="s">
        <v>345</v>
      </c>
      <c r="G25" s="15">
        <f>14/14</f>
        <v>1</v>
      </c>
      <c r="H25" s="14" t="s">
        <v>346</v>
      </c>
      <c r="I25" s="15">
        <f>11/13</f>
        <v>0.84615384615384615</v>
      </c>
      <c r="J25" s="14" t="s">
        <v>347</v>
      </c>
      <c r="K25" s="15">
        <f>17/20</f>
        <v>0.85</v>
      </c>
      <c r="L25" s="14" t="s">
        <v>348</v>
      </c>
      <c r="M25" s="15">
        <f>11/20</f>
        <v>0.55000000000000004</v>
      </c>
      <c r="N25" s="14" t="s">
        <v>349</v>
      </c>
      <c r="O25" s="15">
        <f>17/17</f>
        <v>1</v>
      </c>
      <c r="P25" s="14" t="s">
        <v>346</v>
      </c>
      <c r="Q25" s="15">
        <f>11/13</f>
        <v>0.84615384615384615</v>
      </c>
    </row>
    <row r="26" spans="1:17" ht="15.75" x14ac:dyDescent="0.25">
      <c r="A26" s="13" t="s">
        <v>225</v>
      </c>
      <c r="B26" s="14" t="s">
        <v>323</v>
      </c>
      <c r="C26" s="15">
        <f>13/14</f>
        <v>0.9285714285714286</v>
      </c>
      <c r="D26" s="14" t="s">
        <v>324</v>
      </c>
      <c r="E26" s="15">
        <f>5/14</f>
        <v>0.35714285714285715</v>
      </c>
      <c r="F26" s="14" t="s">
        <v>325</v>
      </c>
      <c r="G26" s="15">
        <f>13/13</f>
        <v>1</v>
      </c>
      <c r="H26" s="14" t="s">
        <v>326</v>
      </c>
      <c r="I26" s="15">
        <f>5/6</f>
        <v>0.83333333333333337</v>
      </c>
      <c r="J26" s="14" t="s">
        <v>327</v>
      </c>
      <c r="K26" s="15">
        <f>16/18</f>
        <v>0.88888888888888884</v>
      </c>
      <c r="L26" s="14" t="s">
        <v>328</v>
      </c>
      <c r="M26" s="15">
        <f>6/18</f>
        <v>0.33333333333333331</v>
      </c>
      <c r="N26" s="14" t="s">
        <v>329</v>
      </c>
      <c r="O26" s="15">
        <f>16/17</f>
        <v>0.94117647058823528</v>
      </c>
      <c r="P26" s="14" t="s">
        <v>330</v>
      </c>
      <c r="Q26" s="15">
        <f>6/7</f>
        <v>0.8571428571428571</v>
      </c>
    </row>
    <row r="27" spans="1:17" ht="15.75" x14ac:dyDescent="0.25">
      <c r="A27" s="13" t="s">
        <v>268</v>
      </c>
      <c r="B27" s="14" t="s">
        <v>331</v>
      </c>
      <c r="C27" s="15">
        <f>1/2</f>
        <v>0.5</v>
      </c>
      <c r="D27" s="14" t="s">
        <v>312</v>
      </c>
      <c r="E27" s="15">
        <f>0/2</f>
        <v>0</v>
      </c>
      <c r="F27" s="14" t="s">
        <v>331</v>
      </c>
      <c r="G27" s="15">
        <f>1/2</f>
        <v>0.5</v>
      </c>
      <c r="H27" s="14" t="s">
        <v>275</v>
      </c>
      <c r="I27" s="14" t="s">
        <v>275</v>
      </c>
      <c r="J27" s="14" t="s">
        <v>331</v>
      </c>
      <c r="K27" s="15">
        <f>1/2</f>
        <v>0.5</v>
      </c>
      <c r="L27" s="14" t="s">
        <v>312</v>
      </c>
      <c r="M27" s="15">
        <f>0/2</f>
        <v>0</v>
      </c>
      <c r="N27" s="14" t="s">
        <v>331</v>
      </c>
      <c r="O27" s="15">
        <f>1/2</f>
        <v>0.5</v>
      </c>
      <c r="P27" s="14" t="s">
        <v>275</v>
      </c>
      <c r="Q27" s="14" t="s">
        <v>275</v>
      </c>
    </row>
    <row r="28" spans="1:17" ht="15.75" x14ac:dyDescent="0.25">
      <c r="A28" s="13" t="s">
        <v>332</v>
      </c>
      <c r="B28" s="23" t="s">
        <v>333</v>
      </c>
      <c r="C28" s="17"/>
      <c r="D28" s="18"/>
      <c r="E28" s="18"/>
      <c r="F28" s="17"/>
      <c r="G28" s="17"/>
      <c r="H28" s="18"/>
      <c r="I28" s="18"/>
      <c r="J28" s="17"/>
      <c r="K28" s="17"/>
      <c r="L28" s="18"/>
      <c r="M28" s="18"/>
      <c r="N28" s="17"/>
      <c r="O28" s="17"/>
      <c r="P28" s="19"/>
      <c r="Q28" s="18"/>
    </row>
    <row r="29" spans="1:17" x14ac:dyDescent="0.25">
      <c r="B29" s="17"/>
      <c r="C29" s="17"/>
      <c r="D29" s="18"/>
      <c r="E29" s="18"/>
      <c r="F29" s="17"/>
      <c r="G29" s="17"/>
      <c r="H29" s="18"/>
      <c r="I29" s="18"/>
      <c r="J29" s="17"/>
      <c r="K29" s="17"/>
      <c r="L29" s="18"/>
      <c r="M29" s="18"/>
      <c r="N29" s="17"/>
      <c r="O29" s="17"/>
      <c r="P29" s="19"/>
      <c r="Q29" s="18"/>
    </row>
    <row r="30" spans="1:17" ht="15.75" x14ac:dyDescent="0.25">
      <c r="A30" s="13" t="s">
        <v>334</v>
      </c>
      <c r="B30" s="14" t="s">
        <v>350</v>
      </c>
      <c r="C30" s="15">
        <f>42/48</f>
        <v>0.875</v>
      </c>
      <c r="D30" s="14" t="s">
        <v>351</v>
      </c>
      <c r="E30" s="15">
        <f>19/48</f>
        <v>0.39583333333333331</v>
      </c>
      <c r="F30" s="14" t="s">
        <v>352</v>
      </c>
      <c r="G30" s="15">
        <f>42/44</f>
        <v>0.95454545454545459</v>
      </c>
      <c r="H30" s="14" t="s">
        <v>353</v>
      </c>
      <c r="I30" s="15">
        <f>19/22</f>
        <v>0.86363636363636365</v>
      </c>
      <c r="J30" s="14" t="s">
        <v>354</v>
      </c>
      <c r="K30" s="15">
        <f>42/52</f>
        <v>0.80769230769230771</v>
      </c>
      <c r="L30" s="14" t="s">
        <v>355</v>
      </c>
      <c r="M30" s="15">
        <f>20/52</f>
        <v>0.38461538461538464</v>
      </c>
      <c r="N30" s="14" t="s">
        <v>352</v>
      </c>
      <c r="O30" s="15">
        <f>42/44</f>
        <v>0.95454545454545459</v>
      </c>
      <c r="P30" s="14" t="s">
        <v>356</v>
      </c>
      <c r="Q30" s="15">
        <f>20/23</f>
        <v>0.86956521739130432</v>
      </c>
    </row>
  </sheetData>
  <mergeCells count="16">
    <mergeCell ref="N3:O3"/>
    <mergeCell ref="P3:Q3"/>
    <mergeCell ref="B20:C20"/>
    <mergeCell ref="D20:E20"/>
    <mergeCell ref="F20:G20"/>
    <mergeCell ref="H20:I20"/>
    <mergeCell ref="J20:K20"/>
    <mergeCell ref="L20:M20"/>
    <mergeCell ref="N20:O20"/>
    <mergeCell ref="P20:Q20"/>
    <mergeCell ref="B3:C3"/>
    <mergeCell ref="D3:E3"/>
    <mergeCell ref="F3:G3"/>
    <mergeCell ref="H3:I3"/>
    <mergeCell ref="J3:K3"/>
    <mergeCell ref="L3:M3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5"/>
  <sheetViews>
    <sheetView workbookViewId="0"/>
  </sheetViews>
  <sheetFormatPr baseColWidth="10" defaultColWidth="8.8554687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18</v>
      </c>
      <c r="B2" s="1" t="s">
        <v>19</v>
      </c>
      <c r="C2" t="s">
        <v>20</v>
      </c>
      <c r="D2" s="1" t="s">
        <v>19</v>
      </c>
      <c r="E2" s="5" t="s">
        <v>21</v>
      </c>
      <c r="F2" s="1">
        <v>2</v>
      </c>
      <c r="G2" s="5">
        <v>-1</v>
      </c>
      <c r="H2" s="1" t="s">
        <v>130</v>
      </c>
      <c r="I2" s="5" t="s">
        <v>21</v>
      </c>
      <c r="J2" s="5" t="s">
        <v>21</v>
      </c>
      <c r="K2" s="5">
        <v>-1</v>
      </c>
      <c r="L2" s="5">
        <v>-1</v>
      </c>
      <c r="M2" t="s">
        <v>22</v>
      </c>
      <c r="N2" t="s">
        <v>17</v>
      </c>
      <c r="Q2" t="s">
        <v>272</v>
      </c>
    </row>
    <row r="3" spans="1:21" x14ac:dyDescent="0.25">
      <c r="A3" t="s">
        <v>18</v>
      </c>
      <c r="B3" s="1" t="s">
        <v>23</v>
      </c>
      <c r="C3" t="s">
        <v>20</v>
      </c>
      <c r="D3" s="1" t="s">
        <v>23</v>
      </c>
      <c r="E3" s="5" t="s">
        <v>21</v>
      </c>
      <c r="F3" s="1">
        <v>2</v>
      </c>
      <c r="G3" s="5">
        <v>-1</v>
      </c>
      <c r="M3" t="s">
        <v>24</v>
      </c>
      <c r="N3" t="s">
        <v>25</v>
      </c>
      <c r="O3" t="s">
        <v>17</v>
      </c>
    </row>
    <row r="4" spans="1:21" x14ac:dyDescent="0.25">
      <c r="A4" t="s">
        <v>18</v>
      </c>
      <c r="B4" s="1" t="s">
        <v>26</v>
      </c>
      <c r="C4" t="s">
        <v>20</v>
      </c>
      <c r="D4" s="1" t="s">
        <v>26</v>
      </c>
      <c r="E4" s="5" t="s">
        <v>21</v>
      </c>
      <c r="F4" s="1">
        <v>2</v>
      </c>
      <c r="G4" s="5">
        <v>-1</v>
      </c>
      <c r="H4" s="1" t="s">
        <v>27</v>
      </c>
      <c r="I4" s="1" t="s">
        <v>27</v>
      </c>
      <c r="J4" s="5" t="s">
        <v>21</v>
      </c>
      <c r="K4" s="1">
        <v>2</v>
      </c>
      <c r="L4" s="5">
        <v>-1</v>
      </c>
      <c r="M4" t="s">
        <v>28</v>
      </c>
      <c r="N4" t="s">
        <v>29</v>
      </c>
      <c r="O4" t="s">
        <v>17</v>
      </c>
    </row>
    <row r="5" spans="1:21" x14ac:dyDescent="0.25">
      <c r="A5" t="s">
        <v>18</v>
      </c>
      <c r="B5" s="1" t="s">
        <v>30</v>
      </c>
      <c r="C5" t="s">
        <v>20</v>
      </c>
      <c r="D5" s="1" t="s">
        <v>30</v>
      </c>
      <c r="E5" s="5" t="s">
        <v>21</v>
      </c>
      <c r="F5" s="1">
        <v>2</v>
      </c>
      <c r="G5" s="5">
        <v>-1</v>
      </c>
      <c r="H5" s="1" t="s">
        <v>31</v>
      </c>
      <c r="I5" s="1" t="s">
        <v>31</v>
      </c>
      <c r="J5" s="5" t="s">
        <v>21</v>
      </c>
      <c r="K5" s="1">
        <v>2</v>
      </c>
      <c r="L5" s="5">
        <v>-1</v>
      </c>
      <c r="M5" t="s">
        <v>32</v>
      </c>
      <c r="N5" t="s">
        <v>33</v>
      </c>
      <c r="O5" t="s">
        <v>17</v>
      </c>
    </row>
    <row r="6" spans="1:21" x14ac:dyDescent="0.25">
      <c r="A6" t="s">
        <v>18</v>
      </c>
      <c r="B6" s="9" t="s">
        <v>168</v>
      </c>
      <c r="C6" t="s">
        <v>20</v>
      </c>
      <c r="D6" s="5" t="s">
        <v>21</v>
      </c>
      <c r="E6" s="5" t="s">
        <v>21</v>
      </c>
      <c r="F6" s="5">
        <v>-1</v>
      </c>
      <c r="G6" s="5">
        <v>-1</v>
      </c>
      <c r="H6" s="1" t="s">
        <v>169</v>
      </c>
      <c r="I6" s="5" t="s">
        <v>21</v>
      </c>
      <c r="J6" s="5" t="s">
        <v>21</v>
      </c>
      <c r="K6" s="5">
        <v>-1</v>
      </c>
      <c r="L6" s="5">
        <v>-1</v>
      </c>
      <c r="M6" t="s">
        <v>17</v>
      </c>
      <c r="N6" t="s">
        <v>17</v>
      </c>
    </row>
    <row r="7" spans="1:21" x14ac:dyDescent="0.25">
      <c r="A7" t="s">
        <v>18</v>
      </c>
      <c r="B7" s="1" t="s">
        <v>34</v>
      </c>
      <c r="C7" t="s">
        <v>20</v>
      </c>
      <c r="D7" s="1" t="s">
        <v>34</v>
      </c>
      <c r="E7" s="1" t="s">
        <v>34</v>
      </c>
      <c r="F7" s="1">
        <v>2</v>
      </c>
      <c r="G7" s="1">
        <v>2</v>
      </c>
      <c r="H7" s="1" t="s">
        <v>35</v>
      </c>
      <c r="I7" s="1" t="s">
        <v>35</v>
      </c>
      <c r="J7" s="1" t="s">
        <v>35</v>
      </c>
      <c r="K7" s="1">
        <v>2</v>
      </c>
      <c r="L7" s="1">
        <v>2</v>
      </c>
      <c r="M7" t="s">
        <v>36</v>
      </c>
      <c r="N7" t="s">
        <v>37</v>
      </c>
      <c r="O7" t="s">
        <v>38</v>
      </c>
      <c r="P7">
        <v>16.5</v>
      </c>
    </row>
    <row r="8" spans="1:21" x14ac:dyDescent="0.25">
      <c r="A8" t="s">
        <v>18</v>
      </c>
      <c r="B8" s="1" t="s">
        <v>39</v>
      </c>
      <c r="C8" t="s">
        <v>20</v>
      </c>
      <c r="D8" s="1" t="s">
        <v>39</v>
      </c>
      <c r="E8" s="5" t="s">
        <v>21</v>
      </c>
      <c r="F8" s="1">
        <v>2</v>
      </c>
      <c r="G8" s="5">
        <v>-1</v>
      </c>
      <c r="H8" s="1" t="s">
        <v>178</v>
      </c>
      <c r="I8" s="5" t="s">
        <v>21</v>
      </c>
      <c r="J8" s="5" t="s">
        <v>21</v>
      </c>
      <c r="K8" s="5">
        <v>-1</v>
      </c>
      <c r="L8" s="5">
        <v>-1</v>
      </c>
      <c r="M8" t="s">
        <v>40</v>
      </c>
      <c r="N8" t="s">
        <v>17</v>
      </c>
      <c r="Q8" t="s">
        <v>273</v>
      </c>
    </row>
    <row r="9" spans="1:21" x14ac:dyDescent="0.25">
      <c r="A9" t="s">
        <v>18</v>
      </c>
      <c r="B9" s="1" t="s">
        <v>41</v>
      </c>
      <c r="C9" t="s">
        <v>20</v>
      </c>
      <c r="D9" s="1" t="s">
        <v>41</v>
      </c>
      <c r="E9" s="5" t="s">
        <v>21</v>
      </c>
      <c r="F9" s="1">
        <v>2</v>
      </c>
      <c r="G9" s="5">
        <v>-1</v>
      </c>
      <c r="H9" s="1" t="s">
        <v>42</v>
      </c>
      <c r="I9" s="1" t="s">
        <v>42</v>
      </c>
      <c r="J9" s="5" t="s">
        <v>21</v>
      </c>
      <c r="K9" s="1">
        <v>2</v>
      </c>
      <c r="L9" s="5">
        <v>-1</v>
      </c>
      <c r="M9" t="s">
        <v>43</v>
      </c>
      <c r="N9" t="s">
        <v>44</v>
      </c>
      <c r="O9" t="s">
        <v>17</v>
      </c>
    </row>
    <row r="12" spans="1:21" ht="15.75" x14ac:dyDescent="0.25">
      <c r="A12" s="3" t="s">
        <v>45</v>
      </c>
      <c r="H12" s="3" t="s">
        <v>46</v>
      </c>
    </row>
    <row r="13" spans="1:21" x14ac:dyDescent="0.25">
      <c r="A13" s="4" t="s">
        <v>47</v>
      </c>
      <c r="F13">
        <f>COUNTIFS(B2:B9,"&lt;&gt;*_*",B2:B9,"&lt;&gt;")</f>
        <v>8</v>
      </c>
      <c r="H13" s="4" t="s">
        <v>47</v>
      </c>
      <c r="K13">
        <f>COUNTIFS(B2:B9,"&lt;&gt;*_*",B2:B9,"&lt;&gt;",R2:R9,"&lt;&gt;TRUE")</f>
        <v>8</v>
      </c>
    </row>
    <row r="14" spans="1:21" x14ac:dyDescent="0.25">
      <c r="A14" s="4" t="s">
        <v>48</v>
      </c>
      <c r="F14">
        <f>COUNTIFS(F2:F9,"&gt;0")</f>
        <v>7</v>
      </c>
      <c r="H14" s="4" t="s">
        <v>48</v>
      </c>
      <c r="K14">
        <f>COUNTIFS(F2:F9,"&gt;0",R2:R9,"&lt;&gt;TRUE")</f>
        <v>7</v>
      </c>
    </row>
    <row r="15" spans="1:21" x14ac:dyDescent="0.25">
      <c r="A15" s="4" t="s">
        <v>49</v>
      </c>
      <c r="F15">
        <f>COUNTIFS(G2:G9,"&gt;0")</f>
        <v>1</v>
      </c>
      <c r="H15" s="4" t="s">
        <v>49</v>
      </c>
      <c r="K15">
        <f>COUNTIFS(G2:G9,"&gt;0",S2:S9,"&lt;&gt;TRUE")</f>
        <v>1</v>
      </c>
    </row>
    <row r="16" spans="1:21" x14ac:dyDescent="0.25">
      <c r="A16" s="4" t="s">
        <v>50</v>
      </c>
      <c r="F16">
        <f>COUNTIFS(F2:F9,"&lt;&gt;-1",F2:F9,"&lt;&gt;0",F2:F9,"&lt;2")</f>
        <v>0</v>
      </c>
      <c r="H16" s="4" t="s">
        <v>50</v>
      </c>
      <c r="K16">
        <f>COUNTIFS(F2:F9,"&lt;&gt;-1",F2:F9,"&lt;&gt;0",F2:F9,"&lt;2",R2:R9,"&lt;&gt;TRUE")</f>
        <v>0</v>
      </c>
    </row>
    <row r="17" spans="1:11" x14ac:dyDescent="0.25">
      <c r="A17" s="4" t="s">
        <v>51</v>
      </c>
      <c r="F17">
        <f>COUNTIFS(G2:G9,"&lt;&gt;-1",G2:G9,"&lt;&gt;0",G2:G9,"&lt;2")</f>
        <v>0</v>
      </c>
      <c r="H17" s="4" t="s">
        <v>51</v>
      </c>
      <c r="K17">
        <f>COUNTIFS(G2:G9,"&lt;&gt;-1",G2:G9,"&lt;&gt;0",G2:G9,"&lt;2",S2:S9,"&lt;&gt;TRUE")</f>
        <v>0</v>
      </c>
    </row>
    <row r="18" spans="1:11" x14ac:dyDescent="0.25">
      <c r="A18" s="4" t="s">
        <v>52</v>
      </c>
      <c r="F18">
        <f>COUNTIFS(F2:F9,"=-1")+COUNTIFS(F2:F9,"=-3")</f>
        <v>1</v>
      </c>
      <c r="H18" s="4" t="s">
        <v>52</v>
      </c>
      <c r="K18">
        <f>COUNTIFS(F2:F9,"=-1",R2:R9,"&lt;&gt;TRUE")+COUNTIFS(F2:F9,"=-3",R2:R9,"&lt;&gt;TRUE")</f>
        <v>1</v>
      </c>
    </row>
    <row r="19" spans="1:11" x14ac:dyDescent="0.25">
      <c r="A19" s="4" t="s">
        <v>53</v>
      </c>
      <c r="F19">
        <f>COUNTIFS(G2:G9,"=-1")+COUNTIFS(G2:G9,"=-3")</f>
        <v>7</v>
      </c>
      <c r="H19" s="4" t="s">
        <v>53</v>
      </c>
      <c r="K19">
        <f>COUNTIFS(G2:G9,"=-1",S2:S9,"&lt;&gt;TRUE")+COUNTIFS(G2:G9,"=-3",S2:S9,"&lt;&gt;TRUE")</f>
        <v>7</v>
      </c>
    </row>
    <row r="20" spans="1:11" x14ac:dyDescent="0.25">
      <c r="A20" s="4" t="s">
        <v>54</v>
      </c>
      <c r="F20" s="8">
        <f>F14/F13</f>
        <v>0.875</v>
      </c>
      <c r="H20" s="4" t="s">
        <v>54</v>
      </c>
      <c r="K20" s="8">
        <f>K14/K13</f>
        <v>0.875</v>
      </c>
    </row>
    <row r="21" spans="1:11" x14ac:dyDescent="0.25">
      <c r="A21" s="4" t="s">
        <v>55</v>
      </c>
      <c r="F21" s="8">
        <f>F15/F13</f>
        <v>0.125</v>
      </c>
      <c r="H21" s="4" t="s">
        <v>56</v>
      </c>
      <c r="K21" s="8">
        <f>K15/K13</f>
        <v>0.125</v>
      </c>
    </row>
    <row r="22" spans="1:11" x14ac:dyDescent="0.25">
      <c r="A22" s="4" t="s">
        <v>57</v>
      </c>
      <c r="F22" s="8">
        <f>F14/(F14+F16)</f>
        <v>1</v>
      </c>
      <c r="H22" s="4" t="s">
        <v>57</v>
      </c>
      <c r="K22" s="8">
        <f>K14/(K14+K16)</f>
        <v>1</v>
      </c>
    </row>
    <row r="23" spans="1:11" x14ac:dyDescent="0.25">
      <c r="A23" s="4" t="s">
        <v>58</v>
      </c>
      <c r="F23" s="8">
        <f>F15/(F15+F17)</f>
        <v>1</v>
      </c>
      <c r="H23" s="4" t="s">
        <v>58</v>
      </c>
      <c r="K23" s="8">
        <f>K15/(K15+K17)</f>
        <v>1</v>
      </c>
    </row>
    <row r="26" spans="1:11" ht="15.75" x14ac:dyDescent="0.25">
      <c r="A26" s="3" t="s">
        <v>59</v>
      </c>
      <c r="H26" s="3" t="s">
        <v>60</v>
      </c>
    </row>
    <row r="27" spans="1:11" x14ac:dyDescent="0.25">
      <c r="A27" s="4" t="s">
        <v>47</v>
      </c>
      <c r="F27">
        <f>COUNTIFS(H2:H9,"&lt;&gt;*_FP",H2:H9,"&lt;&gt;",H2:H9,"&lt;&gt;no structure")</f>
        <v>7</v>
      </c>
      <c r="H27" s="4" t="s">
        <v>47</v>
      </c>
      <c r="K27">
        <f>COUNTIFS(H2:H9,"&lt;&gt;*_FP",H2:H9,"&lt;&gt;",H2:H9,"&lt;&gt;no structure",T2:T9,"&lt;&gt;TRUE")</f>
        <v>7</v>
      </c>
    </row>
    <row r="28" spans="1:11" x14ac:dyDescent="0.25">
      <c r="A28" s="4" t="s">
        <v>48</v>
      </c>
      <c r="F28">
        <f>COUNTIFS(K2:K9,"&gt;0")</f>
        <v>4</v>
      </c>
      <c r="H28" s="4" t="s">
        <v>48</v>
      </c>
      <c r="K28">
        <f>COUNTIFS(K2:K9,"&gt;0",T2:T9,"&lt;&gt;TRUE")</f>
        <v>4</v>
      </c>
    </row>
    <row r="29" spans="1:11" x14ac:dyDescent="0.25">
      <c r="A29" s="4" t="s">
        <v>49</v>
      </c>
      <c r="F29">
        <f>COUNTIFS(L2:L9,"&gt;0")</f>
        <v>1</v>
      </c>
      <c r="H29" s="4" t="s">
        <v>49</v>
      </c>
      <c r="K29">
        <f>COUNTIFS(L2:L9,"&gt;0",U2:U9,"&lt;&gt;TRUE")</f>
        <v>1</v>
      </c>
    </row>
    <row r="30" spans="1:11" x14ac:dyDescent="0.25">
      <c r="A30" s="4" t="s">
        <v>50</v>
      </c>
      <c r="F30">
        <f>COUNTIFS(K2:K9,"&lt;&gt;-1",K2:K9,"&lt;&gt;0",K2:K9,"&lt;2")</f>
        <v>0</v>
      </c>
      <c r="H30" s="4" t="s">
        <v>50</v>
      </c>
      <c r="K30">
        <f>COUNTIFS(K2:K9,"&lt;&gt;-1",K2:K9,"&lt;&gt;0",K2:K9,"&lt;2",T2:T9,"&lt;&gt;TRUE")</f>
        <v>0</v>
      </c>
    </row>
    <row r="31" spans="1:11" x14ac:dyDescent="0.25">
      <c r="A31" s="4" t="s">
        <v>51</v>
      </c>
      <c r="F31">
        <f>COUNTIFS(L2:L9,"&lt;&gt;-1",L2:L9,"&lt;&gt;0",L2:L9,"&lt;2")</f>
        <v>0</v>
      </c>
      <c r="H31" s="4" t="s">
        <v>51</v>
      </c>
      <c r="K31">
        <f>COUNTIFS(L2:L9,"&lt;&gt;-1",L2:L9,"&lt;&gt;0",L2:L9,"&lt;2",U2:U9,"&lt;&gt;TRUE")</f>
        <v>0</v>
      </c>
    </row>
    <row r="32" spans="1:11" x14ac:dyDescent="0.25">
      <c r="A32" s="4" t="s">
        <v>52</v>
      </c>
      <c r="F32">
        <f>COUNTIFS(K2:K9,"=-1")+COUNTIFS(K2:K9,"=-3")</f>
        <v>3</v>
      </c>
      <c r="H32" s="4" t="s">
        <v>52</v>
      </c>
      <c r="K32">
        <f>COUNTIFS(K2:K9,"=-1",T2:T9,"&lt;&gt;TRUE")+COUNTIFS(K2:K9,"=-3",T2:T9,"&lt;&gt;TRUE")</f>
        <v>3</v>
      </c>
    </row>
    <row r="33" spans="1:11" x14ac:dyDescent="0.25">
      <c r="A33" s="4" t="s">
        <v>53</v>
      </c>
      <c r="F33">
        <f>COUNTIFS(L2:L9,"=-1")+COUNTIFS(L2:L9,"=-3")</f>
        <v>6</v>
      </c>
      <c r="H33" s="4" t="s">
        <v>53</v>
      </c>
      <c r="K33">
        <f>COUNTIFS(L2:L9,"=-1",U2:U9,"&lt;&gt;TRUE")+COUNTIFS(L2:L9,"=-3",U2:U9,"&lt;&gt;TRUE")</f>
        <v>6</v>
      </c>
    </row>
    <row r="34" spans="1:11" x14ac:dyDescent="0.25">
      <c r="A34" s="4" t="s">
        <v>54</v>
      </c>
      <c r="F34" s="8">
        <f>F28/F27</f>
        <v>0.5714285714285714</v>
      </c>
      <c r="H34" s="4" t="s">
        <v>54</v>
      </c>
      <c r="K34" s="8">
        <f>K28/K27</f>
        <v>0.5714285714285714</v>
      </c>
    </row>
    <row r="35" spans="1:11" x14ac:dyDescent="0.25">
      <c r="A35" s="4" t="s">
        <v>55</v>
      </c>
      <c r="F35" s="8">
        <f>F29/F27</f>
        <v>0.14285714285714285</v>
      </c>
      <c r="H35" s="4" t="s">
        <v>56</v>
      </c>
      <c r="K35" s="8">
        <f>K29/K27</f>
        <v>0.14285714285714285</v>
      </c>
    </row>
    <row r="36" spans="1:11" x14ac:dyDescent="0.25">
      <c r="A36" s="4" t="s">
        <v>57</v>
      </c>
      <c r="F36" s="8">
        <f>F28/(F28+F30)</f>
        <v>1</v>
      </c>
      <c r="H36" s="4" t="s">
        <v>57</v>
      </c>
      <c r="K36" s="8">
        <f>K28/(K28+K30)</f>
        <v>1</v>
      </c>
    </row>
    <row r="37" spans="1:11" x14ac:dyDescent="0.25">
      <c r="A37" s="4" t="s">
        <v>58</v>
      </c>
      <c r="F37" s="8">
        <f>F29/(F29+F31)</f>
        <v>1</v>
      </c>
      <c r="H37" s="4" t="s">
        <v>58</v>
      </c>
      <c r="K37" s="8">
        <f>K29/(K29+K31)</f>
        <v>1</v>
      </c>
    </row>
    <row r="40" spans="1:11" ht="15.75" x14ac:dyDescent="0.25">
      <c r="A40" s="3" t="s">
        <v>61</v>
      </c>
    </row>
    <row r="41" spans="1:11" x14ac:dyDescent="0.25">
      <c r="A41" s="1" t="s">
        <v>62</v>
      </c>
    </row>
    <row r="42" spans="1:11" x14ac:dyDescent="0.25">
      <c r="A42" s="5" t="s">
        <v>63</v>
      </c>
    </row>
    <row r="44" spans="1:11" x14ac:dyDescent="0.25">
      <c r="A44" s="1" t="s">
        <v>64</v>
      </c>
    </row>
    <row r="45" spans="1:11" x14ac:dyDescent="0.25">
      <c r="A45" s="6" t="s">
        <v>65</v>
      </c>
    </row>
    <row r="46" spans="1:11" x14ac:dyDescent="0.25">
      <c r="A46" s="7" t="s">
        <v>66</v>
      </c>
    </row>
    <row r="47" spans="1:11" x14ac:dyDescent="0.25">
      <c r="A47" s="5" t="s">
        <v>67</v>
      </c>
    </row>
    <row r="49" spans="1:1" x14ac:dyDescent="0.25">
      <c r="A49" s="4" t="s">
        <v>68</v>
      </c>
    </row>
    <row r="50" spans="1:1" x14ac:dyDescent="0.25">
      <c r="A50" t="s">
        <v>69</v>
      </c>
    </row>
    <row r="51" spans="1:1" x14ac:dyDescent="0.25">
      <c r="A51" t="s">
        <v>70</v>
      </c>
    </row>
    <row r="52" spans="1:1" x14ac:dyDescent="0.25">
      <c r="A52" t="s">
        <v>71</v>
      </c>
    </row>
    <row r="53" spans="1:1" x14ac:dyDescent="0.25">
      <c r="A53" t="s">
        <v>72</v>
      </c>
    </row>
    <row r="54" spans="1:1" x14ac:dyDescent="0.25">
      <c r="A54" t="s">
        <v>73</v>
      </c>
    </row>
    <row r="55" spans="1:1" x14ac:dyDescent="0.25">
      <c r="A55" t="s">
        <v>74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0"/>
  <sheetViews>
    <sheetView workbookViewId="0"/>
  </sheetViews>
  <sheetFormatPr baseColWidth="10" defaultColWidth="8.8554687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75</v>
      </c>
      <c r="B2" s="1" t="s">
        <v>26</v>
      </c>
      <c r="C2" t="s">
        <v>20</v>
      </c>
      <c r="D2" s="1" t="s">
        <v>26</v>
      </c>
      <c r="E2" s="5" t="s">
        <v>21</v>
      </c>
      <c r="F2" s="1">
        <v>2</v>
      </c>
      <c r="G2" s="5">
        <v>-1</v>
      </c>
      <c r="H2" s="1" t="s">
        <v>76</v>
      </c>
      <c r="I2" s="1" t="s">
        <v>76</v>
      </c>
      <c r="J2" s="5" t="s">
        <v>21</v>
      </c>
      <c r="K2" s="1">
        <v>2</v>
      </c>
      <c r="L2" s="5">
        <v>-1</v>
      </c>
      <c r="M2" t="s">
        <v>77</v>
      </c>
      <c r="N2" t="s">
        <v>78</v>
      </c>
      <c r="O2" t="s">
        <v>17</v>
      </c>
    </row>
    <row r="3" spans="1:21" x14ac:dyDescent="0.25">
      <c r="A3" t="s">
        <v>75</v>
      </c>
      <c r="B3" s="1" t="s">
        <v>34</v>
      </c>
      <c r="C3" t="s">
        <v>20</v>
      </c>
      <c r="D3" s="1" t="s">
        <v>34</v>
      </c>
      <c r="E3" s="5" t="s">
        <v>21</v>
      </c>
      <c r="F3" s="1">
        <v>2</v>
      </c>
      <c r="G3" s="5">
        <v>-1</v>
      </c>
      <c r="H3" s="1" t="s">
        <v>79</v>
      </c>
      <c r="I3" s="1" t="s">
        <v>79</v>
      </c>
      <c r="J3" s="5" t="s">
        <v>21</v>
      </c>
      <c r="K3" s="1">
        <v>2</v>
      </c>
      <c r="L3" s="5">
        <v>-1</v>
      </c>
      <c r="M3" t="s">
        <v>80</v>
      </c>
      <c r="N3" t="s">
        <v>81</v>
      </c>
      <c r="O3" t="s">
        <v>17</v>
      </c>
    </row>
    <row r="4" spans="1:21" x14ac:dyDescent="0.25">
      <c r="A4" t="s">
        <v>75</v>
      </c>
      <c r="B4" s="5" t="s">
        <v>82</v>
      </c>
      <c r="C4" t="s">
        <v>20</v>
      </c>
      <c r="D4" s="5" t="s">
        <v>83</v>
      </c>
      <c r="E4" t="s">
        <v>21</v>
      </c>
      <c r="F4" s="5">
        <v>-2</v>
      </c>
      <c r="G4">
        <v>0</v>
      </c>
      <c r="M4" t="s">
        <v>17</v>
      </c>
      <c r="N4" t="s">
        <v>17</v>
      </c>
      <c r="O4" t="s">
        <v>17</v>
      </c>
      <c r="Q4" t="s">
        <v>274</v>
      </c>
    </row>
    <row r="7" spans="1:21" ht="15.75" x14ac:dyDescent="0.25">
      <c r="A7" s="3" t="s">
        <v>45</v>
      </c>
      <c r="H7" s="3" t="s">
        <v>46</v>
      </c>
    </row>
    <row r="8" spans="1:21" x14ac:dyDescent="0.25">
      <c r="A8" s="4" t="s">
        <v>47</v>
      </c>
      <c r="F8">
        <f>COUNTIFS(B2:B4,"&lt;&gt;*_*",B2:B4,"&lt;&gt;")</f>
        <v>2</v>
      </c>
      <c r="H8" s="4" t="s">
        <v>47</v>
      </c>
      <c r="K8">
        <f>COUNTIFS(B2:B4,"&lt;&gt;*_*",B2:B4,"&lt;&gt;",R2:R4,"&lt;&gt;TRUE")</f>
        <v>2</v>
      </c>
    </row>
    <row r="9" spans="1:21" x14ac:dyDescent="0.25">
      <c r="A9" s="4" t="s">
        <v>48</v>
      </c>
      <c r="F9">
        <f>COUNTIFS(F2:F4,"&gt;0")</f>
        <v>2</v>
      </c>
      <c r="H9" s="4" t="s">
        <v>48</v>
      </c>
      <c r="K9">
        <f>COUNTIFS(F2:F4,"&gt;0",R2:R4,"&lt;&gt;TRUE")</f>
        <v>2</v>
      </c>
    </row>
    <row r="10" spans="1:21" x14ac:dyDescent="0.25">
      <c r="A10" s="4" t="s">
        <v>49</v>
      </c>
      <c r="F10">
        <f>COUNTIFS(G2:G4,"&gt;0")</f>
        <v>0</v>
      </c>
      <c r="H10" s="4" t="s">
        <v>49</v>
      </c>
      <c r="K10">
        <f>COUNTIFS(G2:G4,"&gt;0",S2:S4,"&lt;&gt;TRUE")</f>
        <v>0</v>
      </c>
    </row>
    <row r="11" spans="1:21" x14ac:dyDescent="0.25">
      <c r="A11" s="4" t="s">
        <v>50</v>
      </c>
      <c r="F11">
        <f>COUNTIFS(F2:F4,"&lt;&gt;-1",F2:F4,"&lt;&gt;0",F2:F4,"&lt;2")</f>
        <v>1</v>
      </c>
      <c r="H11" s="4" t="s">
        <v>50</v>
      </c>
      <c r="K11">
        <f>COUNTIFS(F2:F4,"&lt;&gt;-1",F2:F4,"&lt;&gt;0",F2:F4,"&lt;2",R2:R4,"&lt;&gt;TRUE")</f>
        <v>1</v>
      </c>
    </row>
    <row r="12" spans="1:21" x14ac:dyDescent="0.25">
      <c r="A12" s="4" t="s">
        <v>51</v>
      </c>
      <c r="F12">
        <f>COUNTIFS(G2:G4,"&lt;&gt;-1",G2:G4,"&lt;&gt;0",G2:G4,"&lt;2")</f>
        <v>0</v>
      </c>
      <c r="H12" s="4" t="s">
        <v>51</v>
      </c>
      <c r="K12">
        <f>COUNTIFS(G2:G4,"&lt;&gt;-1",G2:G4,"&lt;&gt;0",G2:G4,"&lt;2",S2:S4,"&lt;&gt;TRUE")</f>
        <v>0</v>
      </c>
    </row>
    <row r="13" spans="1:21" x14ac:dyDescent="0.25">
      <c r="A13" s="4" t="s">
        <v>52</v>
      </c>
      <c r="F13">
        <f>COUNTIFS(F2:F4,"=-1")+COUNTIFS(F2:F4,"=-3")</f>
        <v>0</v>
      </c>
      <c r="H13" s="4" t="s">
        <v>52</v>
      </c>
      <c r="K13">
        <f>COUNTIFS(F2:F4,"=-1",R2:R4,"&lt;&gt;TRUE")+COUNTIFS(F2:F4,"=-3",R2:R4,"&lt;&gt;TRUE")</f>
        <v>0</v>
      </c>
    </row>
    <row r="14" spans="1:21" x14ac:dyDescent="0.25">
      <c r="A14" s="4" t="s">
        <v>53</v>
      </c>
      <c r="F14">
        <f>COUNTIFS(G2:G4,"=-1")+COUNTIFS(G2:G4,"=-3")</f>
        <v>2</v>
      </c>
      <c r="H14" s="4" t="s">
        <v>53</v>
      </c>
      <c r="K14">
        <f>COUNTIFS(G2:G4,"=-1",S2:S4,"&lt;&gt;TRUE")+COUNTIFS(G2:G4,"=-3",S2:S4,"&lt;&gt;TRUE")</f>
        <v>2</v>
      </c>
    </row>
    <row r="15" spans="1:21" x14ac:dyDescent="0.25">
      <c r="A15" s="4" t="s">
        <v>54</v>
      </c>
      <c r="F15" s="8">
        <f>F9/F8</f>
        <v>1</v>
      </c>
      <c r="H15" s="4" t="s">
        <v>54</v>
      </c>
      <c r="K15" s="8">
        <f>K9/K8</f>
        <v>1</v>
      </c>
    </row>
    <row r="16" spans="1:21" x14ac:dyDescent="0.25">
      <c r="A16" s="4" t="s">
        <v>55</v>
      </c>
      <c r="F16" s="8">
        <f>F10/F8</f>
        <v>0</v>
      </c>
      <c r="H16" s="4" t="s">
        <v>56</v>
      </c>
      <c r="K16" s="8">
        <f>K10/K8</f>
        <v>0</v>
      </c>
    </row>
    <row r="17" spans="1:11" x14ac:dyDescent="0.25">
      <c r="A17" s="4" t="s">
        <v>57</v>
      </c>
      <c r="F17" s="8">
        <f>F9/(F9+F11)</f>
        <v>0.66666666666666663</v>
      </c>
      <c r="H17" s="4" t="s">
        <v>57</v>
      </c>
      <c r="K17" s="8">
        <f>K9/(K9+K11)</f>
        <v>0.66666666666666663</v>
      </c>
    </row>
    <row r="18" spans="1:11" x14ac:dyDescent="0.25">
      <c r="A18" s="4" t="s">
        <v>58</v>
      </c>
      <c r="F18" s="10" t="s">
        <v>275</v>
      </c>
      <c r="H18" s="4" t="s">
        <v>58</v>
      </c>
      <c r="K18" s="10" t="s">
        <v>275</v>
      </c>
    </row>
    <row r="21" spans="1:11" ht="15.75" x14ac:dyDescent="0.25">
      <c r="A21" s="3" t="s">
        <v>59</v>
      </c>
      <c r="H21" s="3" t="s">
        <v>60</v>
      </c>
    </row>
    <row r="22" spans="1:11" x14ac:dyDescent="0.25">
      <c r="A22" s="4" t="s">
        <v>47</v>
      </c>
      <c r="F22">
        <f>COUNTIFS(H2:H4,"&lt;&gt;*_FP",H2:H4,"&lt;&gt;",H2:H4,"&lt;&gt;no structure")</f>
        <v>2</v>
      </c>
      <c r="H22" s="4" t="s">
        <v>47</v>
      </c>
      <c r="K22">
        <f>COUNTIFS(H2:H4,"&lt;&gt;*_FP",H2:H4,"&lt;&gt;",H2:H4,"&lt;&gt;no structure",T2:T4,"&lt;&gt;TRUE")</f>
        <v>2</v>
      </c>
    </row>
    <row r="23" spans="1:11" x14ac:dyDescent="0.25">
      <c r="A23" s="4" t="s">
        <v>48</v>
      </c>
      <c r="F23">
        <f>COUNTIFS(K2:K4,"&gt;0")</f>
        <v>2</v>
      </c>
      <c r="H23" s="4" t="s">
        <v>48</v>
      </c>
      <c r="K23">
        <f>COUNTIFS(K2:K4,"&gt;0",T2:T4,"&lt;&gt;TRUE")</f>
        <v>2</v>
      </c>
    </row>
    <row r="24" spans="1:11" x14ac:dyDescent="0.25">
      <c r="A24" s="4" t="s">
        <v>49</v>
      </c>
      <c r="F24">
        <f>COUNTIFS(L2:L4,"&gt;0")</f>
        <v>0</v>
      </c>
      <c r="H24" s="4" t="s">
        <v>49</v>
      </c>
      <c r="K24">
        <f>COUNTIFS(L2:L4,"&gt;0",U2:U4,"&lt;&gt;TRUE")</f>
        <v>0</v>
      </c>
    </row>
    <row r="25" spans="1:11" x14ac:dyDescent="0.25">
      <c r="A25" s="4" t="s">
        <v>50</v>
      </c>
      <c r="F25">
        <f>COUNTIFS(K2:K4,"&lt;&gt;-1",K2:K4,"&lt;&gt;0",K2:K4,"&lt;2")</f>
        <v>0</v>
      </c>
      <c r="H25" s="4" t="s">
        <v>50</v>
      </c>
      <c r="K25">
        <f>COUNTIFS(K2:K4,"&lt;&gt;-1",K2:K4,"&lt;&gt;0",K2:K4,"&lt;2",T2:T4,"&lt;&gt;TRUE")</f>
        <v>0</v>
      </c>
    </row>
    <row r="26" spans="1:11" x14ac:dyDescent="0.25">
      <c r="A26" s="4" t="s">
        <v>51</v>
      </c>
      <c r="F26">
        <f>COUNTIFS(L2:L4,"&lt;&gt;-1",L2:L4,"&lt;&gt;0",L2:L4,"&lt;2")</f>
        <v>0</v>
      </c>
      <c r="H26" s="4" t="s">
        <v>51</v>
      </c>
      <c r="K26">
        <f>COUNTIFS(L2:L4,"&lt;&gt;-1",L2:L4,"&lt;&gt;0",L2:L4,"&lt;2",U2:U4,"&lt;&gt;TRUE")</f>
        <v>0</v>
      </c>
    </row>
    <row r="27" spans="1:11" x14ac:dyDescent="0.25">
      <c r="A27" s="4" t="s">
        <v>52</v>
      </c>
      <c r="F27">
        <f>COUNTIFS(K2:K4,"=-1")+COUNTIFS(K2:K4,"=-3")</f>
        <v>0</v>
      </c>
      <c r="H27" s="4" t="s">
        <v>52</v>
      </c>
      <c r="K27">
        <f>COUNTIFS(K2:K4,"=-1",T2:T4,"&lt;&gt;TRUE")+COUNTIFS(K2:K4,"=-3",T2:T4,"&lt;&gt;TRUE")</f>
        <v>0</v>
      </c>
    </row>
    <row r="28" spans="1:11" x14ac:dyDescent="0.25">
      <c r="A28" s="4" t="s">
        <v>53</v>
      </c>
      <c r="F28">
        <f>COUNTIFS(L2:L4,"=-1")+COUNTIFS(L2:L4,"=-3")</f>
        <v>2</v>
      </c>
      <c r="H28" s="4" t="s">
        <v>53</v>
      </c>
      <c r="K28">
        <f>COUNTIFS(L2:L4,"=-1",U2:U4,"&lt;&gt;TRUE")+COUNTIFS(L2:L4,"=-3",U2:U4,"&lt;&gt;TRUE")</f>
        <v>2</v>
      </c>
    </row>
    <row r="29" spans="1:11" x14ac:dyDescent="0.25">
      <c r="A29" s="4" t="s">
        <v>54</v>
      </c>
      <c r="F29" s="8">
        <f>F23/F22</f>
        <v>1</v>
      </c>
      <c r="H29" s="4" t="s">
        <v>54</v>
      </c>
      <c r="K29" s="8">
        <f>K23/K22</f>
        <v>1</v>
      </c>
    </row>
    <row r="30" spans="1:11" x14ac:dyDescent="0.25">
      <c r="A30" s="4" t="s">
        <v>55</v>
      </c>
      <c r="F30" s="8">
        <f>F24/F22</f>
        <v>0</v>
      </c>
      <c r="H30" s="4" t="s">
        <v>56</v>
      </c>
      <c r="K30" s="8">
        <f>K24/K22</f>
        <v>0</v>
      </c>
    </row>
    <row r="31" spans="1:11" x14ac:dyDescent="0.25">
      <c r="A31" s="4" t="s">
        <v>57</v>
      </c>
      <c r="F31" s="8">
        <f>F23/(F23+F25)</f>
        <v>1</v>
      </c>
      <c r="H31" s="4" t="s">
        <v>57</v>
      </c>
      <c r="K31" s="8">
        <f>K23/(K23+K25)</f>
        <v>1</v>
      </c>
    </row>
    <row r="32" spans="1:11" x14ac:dyDescent="0.25">
      <c r="A32" s="4" t="s">
        <v>58</v>
      </c>
      <c r="F32" s="10" t="s">
        <v>275</v>
      </c>
      <c r="H32" s="4" t="s">
        <v>58</v>
      </c>
      <c r="K32" s="10" t="s">
        <v>275</v>
      </c>
    </row>
    <row r="35" spans="1:1" ht="15.75" x14ac:dyDescent="0.25">
      <c r="A35" s="3" t="s">
        <v>61</v>
      </c>
    </row>
    <row r="36" spans="1:1" x14ac:dyDescent="0.25">
      <c r="A36" s="1" t="s">
        <v>62</v>
      </c>
    </row>
    <row r="37" spans="1:1" x14ac:dyDescent="0.25">
      <c r="A37" s="5" t="s">
        <v>63</v>
      </c>
    </row>
    <row r="39" spans="1:1" x14ac:dyDescent="0.25">
      <c r="A39" s="1" t="s">
        <v>64</v>
      </c>
    </row>
    <row r="40" spans="1:1" x14ac:dyDescent="0.25">
      <c r="A40" s="6" t="s">
        <v>65</v>
      </c>
    </row>
    <row r="41" spans="1:1" x14ac:dyDescent="0.25">
      <c r="A41" s="7" t="s">
        <v>66</v>
      </c>
    </row>
    <row r="42" spans="1:1" x14ac:dyDescent="0.25">
      <c r="A42" s="5" t="s">
        <v>67</v>
      </c>
    </row>
    <row r="44" spans="1:1" x14ac:dyDescent="0.25">
      <c r="A44" s="4" t="s">
        <v>68</v>
      </c>
    </row>
    <row r="45" spans="1:1" x14ac:dyDescent="0.25">
      <c r="A45" t="s">
        <v>69</v>
      </c>
    </row>
    <row r="46" spans="1:1" x14ac:dyDescent="0.25">
      <c r="A46" t="s">
        <v>70</v>
      </c>
    </row>
    <row r="47" spans="1:1" x14ac:dyDescent="0.25">
      <c r="A47" t="s">
        <v>71</v>
      </c>
    </row>
    <row r="48" spans="1:1" x14ac:dyDescent="0.25">
      <c r="A48" t="s">
        <v>72</v>
      </c>
    </row>
    <row r="49" spans="1:1" x14ac:dyDescent="0.25">
      <c r="A49" t="s">
        <v>73</v>
      </c>
    </row>
    <row r="50" spans="1:1" x14ac:dyDescent="0.25">
      <c r="A50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workbookViewId="0"/>
  </sheetViews>
  <sheetFormatPr baseColWidth="10" defaultColWidth="8.85546875" defaultRowHeight="15" x14ac:dyDescent="0.25"/>
  <cols>
    <col min="2" max="2" width="11" customWidth="1"/>
    <col min="4" max="7" width="13" customWidth="1"/>
    <col min="8" max="11" width="10" customWidth="1"/>
    <col min="12" max="12" width="27" customWidth="1"/>
    <col min="13" max="14" width="17" customWidth="1"/>
  </cols>
  <sheetData>
    <row r="1" spans="1:14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10</v>
      </c>
      <c r="I1" s="2" t="s">
        <v>11</v>
      </c>
      <c r="J1" s="2" t="s">
        <v>12</v>
      </c>
      <c r="K1" s="2" t="s">
        <v>13</v>
      </c>
      <c r="L1" s="2" t="s">
        <v>14</v>
      </c>
      <c r="M1" s="2" t="s">
        <v>15</v>
      </c>
      <c r="N1" s="2" t="s">
        <v>16</v>
      </c>
    </row>
    <row r="2" spans="1:14" x14ac:dyDescent="0.25">
      <c r="A2" t="s">
        <v>84</v>
      </c>
      <c r="B2" s="1" t="s">
        <v>85</v>
      </c>
      <c r="C2" t="s">
        <v>20</v>
      </c>
      <c r="D2" s="1" t="s">
        <v>85</v>
      </c>
      <c r="E2" s="5" t="s">
        <v>21</v>
      </c>
      <c r="F2" s="1">
        <v>2</v>
      </c>
      <c r="G2" s="5">
        <v>-1</v>
      </c>
      <c r="H2" t="s">
        <v>86</v>
      </c>
      <c r="I2" t="s">
        <v>87</v>
      </c>
      <c r="J2" t="s">
        <v>17</v>
      </c>
    </row>
    <row r="3" spans="1:14" x14ac:dyDescent="0.25">
      <c r="A3" t="s">
        <v>84</v>
      </c>
      <c r="B3" s="1" t="s">
        <v>88</v>
      </c>
      <c r="C3" t="s">
        <v>20</v>
      </c>
      <c r="D3" s="1" t="s">
        <v>88</v>
      </c>
      <c r="E3" s="5" t="s">
        <v>21</v>
      </c>
      <c r="F3" s="1">
        <v>2</v>
      </c>
      <c r="G3" s="5">
        <v>-1</v>
      </c>
      <c r="H3" t="s">
        <v>89</v>
      </c>
      <c r="I3" t="s">
        <v>90</v>
      </c>
      <c r="J3" t="s">
        <v>17</v>
      </c>
    </row>
    <row r="4" spans="1:14" x14ac:dyDescent="0.25">
      <c r="A4" t="s">
        <v>84</v>
      </c>
      <c r="B4" s="1" t="s">
        <v>91</v>
      </c>
      <c r="C4" t="s">
        <v>20</v>
      </c>
      <c r="D4" s="1" t="s">
        <v>91</v>
      </c>
      <c r="E4" s="5" t="s">
        <v>21</v>
      </c>
      <c r="F4" s="1">
        <v>2</v>
      </c>
      <c r="G4" s="5">
        <v>-1</v>
      </c>
      <c r="H4" t="s">
        <v>92</v>
      </c>
      <c r="I4" t="s">
        <v>93</v>
      </c>
      <c r="J4" t="s">
        <v>17</v>
      </c>
    </row>
    <row r="7" spans="1:14" ht="15.75" x14ac:dyDescent="0.25">
      <c r="A7" s="3" t="s">
        <v>45</v>
      </c>
      <c r="H7" s="3" t="s">
        <v>46</v>
      </c>
    </row>
    <row r="8" spans="1:14" x14ac:dyDescent="0.25">
      <c r="A8" s="4" t="s">
        <v>47</v>
      </c>
      <c r="F8">
        <f>COUNTIFS(B2:B4,"&lt;&gt;*_*",B2:B4,"&lt;&gt;")</f>
        <v>3</v>
      </c>
      <c r="H8" s="4" t="s">
        <v>47</v>
      </c>
      <c r="K8">
        <f>COUNTIFS(B2:B4,"&lt;&gt;*_*",B2:B4,"&lt;&gt;",M2:M4,"&lt;&gt;TRUE")</f>
        <v>3</v>
      </c>
    </row>
    <row r="9" spans="1:14" x14ac:dyDescent="0.25">
      <c r="A9" s="4" t="s">
        <v>48</v>
      </c>
      <c r="F9">
        <f>COUNTIFS(F2:F4,"&gt;0")</f>
        <v>3</v>
      </c>
      <c r="H9" s="4" t="s">
        <v>48</v>
      </c>
      <c r="K9">
        <f>COUNTIFS(F2:F4,"&gt;0",M2:M4,"&lt;&gt;TRUE")</f>
        <v>3</v>
      </c>
    </row>
    <row r="10" spans="1:14" x14ac:dyDescent="0.25">
      <c r="A10" s="4" t="s">
        <v>49</v>
      </c>
      <c r="F10">
        <f>COUNTIFS(G2:G4,"&gt;0")</f>
        <v>0</v>
      </c>
      <c r="H10" s="4" t="s">
        <v>49</v>
      </c>
      <c r="K10">
        <f>COUNTIFS(G2:G4,"&gt;0",N2:N4,"&lt;&gt;TRUE")</f>
        <v>0</v>
      </c>
    </row>
    <row r="11" spans="1:14" x14ac:dyDescent="0.25">
      <c r="A11" s="4" t="s">
        <v>50</v>
      </c>
      <c r="F11">
        <f>COUNTIFS(F2:F4,"&lt;&gt;-1",F2:F4,"&lt;&gt;0",F2:F4,"&lt;2")</f>
        <v>0</v>
      </c>
      <c r="H11" s="4" t="s">
        <v>50</v>
      </c>
      <c r="K11">
        <f>COUNTIFS(F2:F4,"&lt;&gt;-1",F2:F4,"&lt;&gt;0",F2:F4,"&lt;2",M2:M4,"&lt;&gt;TRUE")</f>
        <v>0</v>
      </c>
    </row>
    <row r="12" spans="1:14" x14ac:dyDescent="0.25">
      <c r="A12" s="4" t="s">
        <v>51</v>
      </c>
      <c r="F12">
        <f>COUNTIFS(G2:G4,"&lt;&gt;-1",G2:G4,"&lt;&gt;0",G2:G4,"&lt;2")</f>
        <v>0</v>
      </c>
      <c r="H12" s="4" t="s">
        <v>51</v>
      </c>
      <c r="K12">
        <f>COUNTIFS(G2:G4,"&lt;&gt;-1",G2:G4,"&lt;&gt;0",G2:G4,"&lt;2",N2:N4,"&lt;&gt;TRUE")</f>
        <v>0</v>
      </c>
    </row>
    <row r="13" spans="1:14" x14ac:dyDescent="0.25">
      <c r="A13" s="4" t="s">
        <v>52</v>
      </c>
      <c r="F13">
        <f>COUNTIFS(F2:F4,"=-1")+COUNTIFS(F2:F4,"=-3")</f>
        <v>0</v>
      </c>
      <c r="H13" s="4" t="s">
        <v>52</v>
      </c>
      <c r="K13">
        <f>COUNTIFS(F2:F4,"=-1",M2:M4,"&lt;&gt;TRUE")+COUNTIFS(F2:F4,"=-3",M2:M4,"&lt;&gt;TRUE")</f>
        <v>0</v>
      </c>
    </row>
    <row r="14" spans="1:14" x14ac:dyDescent="0.25">
      <c r="A14" s="4" t="s">
        <v>53</v>
      </c>
      <c r="F14">
        <f>COUNTIFS(G2:G4,"=-1")+COUNTIFS(G2:G4,"=-3")</f>
        <v>3</v>
      </c>
      <c r="H14" s="4" t="s">
        <v>53</v>
      </c>
      <c r="K14">
        <f>COUNTIFS(G2:G4,"=-1",N2:N4,"&lt;&gt;TRUE")+COUNTIFS(G2:G4,"=-3",N2:N4,"&lt;&gt;TRUE")</f>
        <v>3</v>
      </c>
    </row>
    <row r="15" spans="1:14" x14ac:dyDescent="0.25">
      <c r="A15" s="4" t="s">
        <v>54</v>
      </c>
      <c r="F15" s="8">
        <f>F9/F8</f>
        <v>1</v>
      </c>
      <c r="H15" s="4" t="s">
        <v>54</v>
      </c>
      <c r="K15" s="8">
        <f>K9/K8</f>
        <v>1</v>
      </c>
    </row>
    <row r="16" spans="1:14" x14ac:dyDescent="0.25">
      <c r="A16" s="4" t="s">
        <v>55</v>
      </c>
      <c r="F16" s="8">
        <f>F10/F8</f>
        <v>0</v>
      </c>
      <c r="H16" s="4" t="s">
        <v>56</v>
      </c>
      <c r="K16" s="8">
        <f>K10/K8</f>
        <v>0</v>
      </c>
    </row>
    <row r="17" spans="1:11" x14ac:dyDescent="0.25">
      <c r="A17" s="4" t="s">
        <v>57</v>
      </c>
      <c r="F17" s="8">
        <f>F9/(F9+F11)</f>
        <v>1</v>
      </c>
      <c r="H17" s="4" t="s">
        <v>57</v>
      </c>
      <c r="K17" s="8">
        <f>K9/(K9+K11)</f>
        <v>1</v>
      </c>
    </row>
    <row r="18" spans="1:11" x14ac:dyDescent="0.25">
      <c r="A18" s="4" t="s">
        <v>58</v>
      </c>
      <c r="F18" s="10" t="s">
        <v>275</v>
      </c>
      <c r="H18" s="4" t="s">
        <v>58</v>
      </c>
      <c r="K18" s="10" t="s">
        <v>275</v>
      </c>
    </row>
    <row r="21" spans="1:11" ht="15.75" x14ac:dyDescent="0.25">
      <c r="A21" s="3" t="s">
        <v>61</v>
      </c>
    </row>
    <row r="22" spans="1:11" x14ac:dyDescent="0.25">
      <c r="A22" s="1" t="s">
        <v>62</v>
      </c>
    </row>
    <row r="23" spans="1:11" x14ac:dyDescent="0.25">
      <c r="A23" s="5" t="s">
        <v>63</v>
      </c>
    </row>
    <row r="25" spans="1:11" x14ac:dyDescent="0.25">
      <c r="A25" s="1" t="s">
        <v>64</v>
      </c>
    </row>
    <row r="26" spans="1:11" x14ac:dyDescent="0.25">
      <c r="A26" s="6" t="s">
        <v>65</v>
      </c>
    </row>
    <row r="27" spans="1:11" x14ac:dyDescent="0.25">
      <c r="A27" s="7" t="s">
        <v>66</v>
      </c>
    </row>
    <row r="28" spans="1:11" x14ac:dyDescent="0.25">
      <c r="A28" s="5" t="s">
        <v>67</v>
      </c>
    </row>
    <row r="30" spans="1:11" x14ac:dyDescent="0.25">
      <c r="A30" s="4" t="s">
        <v>68</v>
      </c>
    </row>
    <row r="31" spans="1:11" x14ac:dyDescent="0.25">
      <c r="A31" t="s">
        <v>69</v>
      </c>
    </row>
    <row r="32" spans="1:11" x14ac:dyDescent="0.25">
      <c r="A32" t="s">
        <v>70</v>
      </c>
    </row>
    <row r="33" spans="1:1" x14ac:dyDescent="0.25">
      <c r="A33" t="s">
        <v>71</v>
      </c>
    </row>
    <row r="34" spans="1:1" x14ac:dyDescent="0.25">
      <c r="A34" t="s">
        <v>72</v>
      </c>
    </row>
    <row r="35" spans="1:1" x14ac:dyDescent="0.25">
      <c r="A35" t="s">
        <v>73</v>
      </c>
    </row>
    <row r="36" spans="1:1" x14ac:dyDescent="0.25">
      <c r="A36" t="s">
        <v>74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0"/>
  <sheetViews>
    <sheetView workbookViewId="0"/>
  </sheetViews>
  <sheetFormatPr baseColWidth="10" defaultColWidth="8.8554687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94</v>
      </c>
      <c r="B2" s="1" t="s">
        <v>34</v>
      </c>
      <c r="C2" t="s">
        <v>20</v>
      </c>
      <c r="D2" s="1" t="s">
        <v>34</v>
      </c>
      <c r="E2" s="1" t="s">
        <v>34</v>
      </c>
      <c r="F2" s="1">
        <v>2</v>
      </c>
      <c r="G2" s="1">
        <v>2</v>
      </c>
      <c r="H2" s="1" t="s">
        <v>35</v>
      </c>
      <c r="I2" s="1" t="s">
        <v>35</v>
      </c>
      <c r="J2" s="1" t="s">
        <v>35</v>
      </c>
      <c r="K2" s="1">
        <v>2</v>
      </c>
      <c r="L2" s="1">
        <v>2</v>
      </c>
      <c r="M2" t="s">
        <v>95</v>
      </c>
      <c r="N2" t="s">
        <v>96</v>
      </c>
      <c r="O2" t="s">
        <v>97</v>
      </c>
      <c r="P2">
        <v>16.5</v>
      </c>
    </row>
    <row r="3" spans="1:21" x14ac:dyDescent="0.25">
      <c r="A3" t="s">
        <v>94</v>
      </c>
      <c r="B3" s="1" t="s">
        <v>182</v>
      </c>
      <c r="C3" t="s">
        <v>20</v>
      </c>
      <c r="D3" s="5" t="s">
        <v>21</v>
      </c>
      <c r="E3" s="5" t="s">
        <v>21</v>
      </c>
      <c r="F3" s="5">
        <v>-1</v>
      </c>
      <c r="G3" s="5">
        <v>-1</v>
      </c>
      <c r="H3" s="1" t="s">
        <v>183</v>
      </c>
      <c r="I3" s="5" t="s">
        <v>21</v>
      </c>
      <c r="J3" s="5" t="s">
        <v>21</v>
      </c>
      <c r="K3" s="5">
        <v>-1</v>
      </c>
      <c r="L3" s="5">
        <v>-1</v>
      </c>
      <c r="M3" t="s">
        <v>40</v>
      </c>
      <c r="N3" t="s">
        <v>17</v>
      </c>
      <c r="Q3" t="s">
        <v>276</v>
      </c>
    </row>
    <row r="4" spans="1:21" x14ac:dyDescent="0.25">
      <c r="A4" t="s">
        <v>94</v>
      </c>
      <c r="B4" s="1" t="s">
        <v>41</v>
      </c>
      <c r="C4" t="s">
        <v>20</v>
      </c>
      <c r="D4" s="1" t="s">
        <v>41</v>
      </c>
      <c r="E4" s="1" t="s">
        <v>41</v>
      </c>
      <c r="F4" s="1">
        <v>2</v>
      </c>
      <c r="G4" s="1">
        <v>2</v>
      </c>
      <c r="H4" s="1" t="s">
        <v>42</v>
      </c>
      <c r="I4" s="1" t="s">
        <v>42</v>
      </c>
      <c r="J4" s="1" t="s">
        <v>98</v>
      </c>
      <c r="K4" s="1">
        <v>2</v>
      </c>
      <c r="L4" s="1">
        <v>2</v>
      </c>
      <c r="M4" t="s">
        <v>99</v>
      </c>
      <c r="N4" t="s">
        <v>100</v>
      </c>
      <c r="O4" t="s">
        <v>101</v>
      </c>
      <c r="P4">
        <v>50</v>
      </c>
    </row>
    <row r="7" spans="1:21" ht="15.75" x14ac:dyDescent="0.25">
      <c r="A7" s="3" t="s">
        <v>45</v>
      </c>
      <c r="H7" s="3" t="s">
        <v>46</v>
      </c>
    </row>
    <row r="8" spans="1:21" x14ac:dyDescent="0.25">
      <c r="A8" s="4" t="s">
        <v>47</v>
      </c>
      <c r="F8">
        <f>COUNTIFS(B2:B4,"&lt;&gt;*_*",B2:B4,"&lt;&gt;")</f>
        <v>3</v>
      </c>
      <c r="H8" s="4" t="s">
        <v>47</v>
      </c>
      <c r="K8">
        <f>COUNTIFS(B2:B4,"&lt;&gt;*_*",B2:B4,"&lt;&gt;",R2:R4,"&lt;&gt;TRUE")</f>
        <v>3</v>
      </c>
    </row>
    <row r="9" spans="1:21" x14ac:dyDescent="0.25">
      <c r="A9" s="4" t="s">
        <v>48</v>
      </c>
      <c r="F9">
        <f>COUNTIFS(F2:F4,"&gt;0")</f>
        <v>2</v>
      </c>
      <c r="H9" s="4" t="s">
        <v>48</v>
      </c>
      <c r="K9">
        <f>COUNTIFS(F2:F4,"&gt;0",R2:R4,"&lt;&gt;TRUE")</f>
        <v>2</v>
      </c>
    </row>
    <row r="10" spans="1:21" x14ac:dyDescent="0.25">
      <c r="A10" s="4" t="s">
        <v>49</v>
      </c>
      <c r="F10">
        <f>COUNTIFS(G2:G4,"&gt;0")</f>
        <v>2</v>
      </c>
      <c r="H10" s="4" t="s">
        <v>49</v>
      </c>
      <c r="K10">
        <f>COUNTIFS(G2:G4,"&gt;0",S2:S4,"&lt;&gt;TRUE")</f>
        <v>2</v>
      </c>
    </row>
    <row r="11" spans="1:21" x14ac:dyDescent="0.25">
      <c r="A11" s="4" t="s">
        <v>50</v>
      </c>
      <c r="F11">
        <f>COUNTIFS(F2:F4,"&lt;&gt;-1",F2:F4,"&lt;&gt;0",F2:F4,"&lt;2")</f>
        <v>0</v>
      </c>
      <c r="H11" s="4" t="s">
        <v>50</v>
      </c>
      <c r="K11">
        <f>COUNTIFS(F2:F4,"&lt;&gt;-1",F2:F4,"&lt;&gt;0",F2:F4,"&lt;2",R2:R4,"&lt;&gt;TRUE")</f>
        <v>0</v>
      </c>
    </row>
    <row r="12" spans="1:21" x14ac:dyDescent="0.25">
      <c r="A12" s="4" t="s">
        <v>51</v>
      </c>
      <c r="F12">
        <f>COUNTIFS(G2:G4,"&lt;&gt;-1",G2:G4,"&lt;&gt;0",G2:G4,"&lt;2")</f>
        <v>0</v>
      </c>
      <c r="H12" s="4" t="s">
        <v>51</v>
      </c>
      <c r="K12">
        <f>COUNTIFS(G2:G4,"&lt;&gt;-1",G2:G4,"&lt;&gt;0",G2:G4,"&lt;2",S2:S4,"&lt;&gt;TRUE")</f>
        <v>0</v>
      </c>
    </row>
    <row r="13" spans="1:21" x14ac:dyDescent="0.25">
      <c r="A13" s="4" t="s">
        <v>52</v>
      </c>
      <c r="F13">
        <f>COUNTIFS(F2:F4,"=-1")+COUNTIFS(F2:F4,"=-3")</f>
        <v>1</v>
      </c>
      <c r="H13" s="4" t="s">
        <v>52</v>
      </c>
      <c r="K13">
        <f>COUNTIFS(F2:F4,"=-1",R2:R4,"&lt;&gt;TRUE")+COUNTIFS(F2:F4,"=-3",R2:R4,"&lt;&gt;TRUE")</f>
        <v>1</v>
      </c>
    </row>
    <row r="14" spans="1:21" x14ac:dyDescent="0.25">
      <c r="A14" s="4" t="s">
        <v>53</v>
      </c>
      <c r="F14">
        <f>COUNTIFS(G2:G4,"=-1")+COUNTIFS(G2:G4,"=-3")</f>
        <v>1</v>
      </c>
      <c r="H14" s="4" t="s">
        <v>53</v>
      </c>
      <c r="K14">
        <f>COUNTIFS(G2:G4,"=-1",S2:S4,"&lt;&gt;TRUE")+COUNTIFS(G2:G4,"=-3",S2:S4,"&lt;&gt;TRUE")</f>
        <v>1</v>
      </c>
    </row>
    <row r="15" spans="1:21" x14ac:dyDescent="0.25">
      <c r="A15" s="4" t="s">
        <v>54</v>
      </c>
      <c r="F15" s="8">
        <f>F9/F8</f>
        <v>0.66666666666666663</v>
      </c>
      <c r="H15" s="4" t="s">
        <v>54</v>
      </c>
      <c r="K15" s="8">
        <f>K9/K8</f>
        <v>0.66666666666666663</v>
      </c>
    </row>
    <row r="16" spans="1:21" x14ac:dyDescent="0.25">
      <c r="A16" s="4" t="s">
        <v>55</v>
      </c>
      <c r="F16" s="8">
        <f>F10/F8</f>
        <v>0.66666666666666663</v>
      </c>
      <c r="H16" s="4" t="s">
        <v>56</v>
      </c>
      <c r="K16" s="8">
        <f>K10/K8</f>
        <v>0.66666666666666663</v>
      </c>
    </row>
    <row r="17" spans="1:11" x14ac:dyDescent="0.25">
      <c r="A17" s="4" t="s">
        <v>57</v>
      </c>
      <c r="F17" s="8">
        <f>F9/(F9+F11)</f>
        <v>1</v>
      </c>
      <c r="H17" s="4" t="s">
        <v>57</v>
      </c>
      <c r="K17" s="8">
        <f>K9/(K9+K11)</f>
        <v>1</v>
      </c>
    </row>
    <row r="18" spans="1:11" x14ac:dyDescent="0.25">
      <c r="A18" s="4" t="s">
        <v>58</v>
      </c>
      <c r="F18" s="8">
        <f>F10/(F10+F12)</f>
        <v>1</v>
      </c>
      <c r="H18" s="4" t="s">
        <v>58</v>
      </c>
      <c r="K18" s="8">
        <f>K10/(K10+K12)</f>
        <v>1</v>
      </c>
    </row>
    <row r="21" spans="1:11" ht="15.75" x14ac:dyDescent="0.25">
      <c r="A21" s="3" t="s">
        <v>59</v>
      </c>
      <c r="H21" s="3" t="s">
        <v>60</v>
      </c>
    </row>
    <row r="22" spans="1:11" x14ac:dyDescent="0.25">
      <c r="A22" s="4" t="s">
        <v>47</v>
      </c>
      <c r="F22">
        <f>COUNTIFS(H2:H4,"&lt;&gt;*_FP",H2:H4,"&lt;&gt;",H2:H4,"&lt;&gt;no structure")</f>
        <v>3</v>
      </c>
      <c r="H22" s="4" t="s">
        <v>47</v>
      </c>
      <c r="K22">
        <f>COUNTIFS(H2:H4,"&lt;&gt;*_FP",H2:H4,"&lt;&gt;",H2:H4,"&lt;&gt;no structure",T2:T4,"&lt;&gt;TRUE")</f>
        <v>3</v>
      </c>
    </row>
    <row r="23" spans="1:11" x14ac:dyDescent="0.25">
      <c r="A23" s="4" t="s">
        <v>48</v>
      </c>
      <c r="F23">
        <f>COUNTIFS(K2:K4,"&gt;0")</f>
        <v>2</v>
      </c>
      <c r="H23" s="4" t="s">
        <v>48</v>
      </c>
      <c r="K23">
        <f>COUNTIFS(K2:K4,"&gt;0",T2:T4,"&lt;&gt;TRUE")</f>
        <v>2</v>
      </c>
    </row>
    <row r="24" spans="1:11" x14ac:dyDescent="0.25">
      <c r="A24" s="4" t="s">
        <v>49</v>
      </c>
      <c r="F24">
        <f>COUNTIFS(L2:L4,"&gt;0")</f>
        <v>2</v>
      </c>
      <c r="H24" s="4" t="s">
        <v>49</v>
      </c>
      <c r="K24">
        <f>COUNTIFS(L2:L4,"&gt;0",U2:U4,"&lt;&gt;TRUE")</f>
        <v>2</v>
      </c>
    </row>
    <row r="25" spans="1:11" x14ac:dyDescent="0.25">
      <c r="A25" s="4" t="s">
        <v>50</v>
      </c>
      <c r="F25">
        <f>COUNTIFS(K2:K4,"&lt;&gt;-1",K2:K4,"&lt;&gt;0",K2:K4,"&lt;2")</f>
        <v>0</v>
      </c>
      <c r="H25" s="4" t="s">
        <v>50</v>
      </c>
      <c r="K25">
        <f>COUNTIFS(K2:K4,"&lt;&gt;-1",K2:K4,"&lt;&gt;0",K2:K4,"&lt;2",T2:T4,"&lt;&gt;TRUE")</f>
        <v>0</v>
      </c>
    </row>
    <row r="26" spans="1:11" x14ac:dyDescent="0.25">
      <c r="A26" s="4" t="s">
        <v>51</v>
      </c>
      <c r="F26">
        <f>COUNTIFS(L2:L4,"&lt;&gt;-1",L2:L4,"&lt;&gt;0",L2:L4,"&lt;2")</f>
        <v>0</v>
      </c>
      <c r="H26" s="4" t="s">
        <v>51</v>
      </c>
      <c r="K26">
        <f>COUNTIFS(L2:L4,"&lt;&gt;-1",L2:L4,"&lt;&gt;0",L2:L4,"&lt;2",U2:U4,"&lt;&gt;TRUE")</f>
        <v>0</v>
      </c>
    </row>
    <row r="27" spans="1:11" x14ac:dyDescent="0.25">
      <c r="A27" s="4" t="s">
        <v>52</v>
      </c>
      <c r="F27">
        <f>COUNTIFS(K2:K4,"=-1")+COUNTIFS(K2:K4,"=-3")</f>
        <v>1</v>
      </c>
      <c r="H27" s="4" t="s">
        <v>52</v>
      </c>
      <c r="K27">
        <f>COUNTIFS(K2:K4,"=-1",T2:T4,"&lt;&gt;TRUE")+COUNTIFS(K2:K4,"=-3",T2:T4,"&lt;&gt;TRUE")</f>
        <v>1</v>
      </c>
    </row>
    <row r="28" spans="1:11" x14ac:dyDescent="0.25">
      <c r="A28" s="4" t="s">
        <v>53</v>
      </c>
      <c r="F28">
        <f>COUNTIFS(L2:L4,"=-1")+COUNTIFS(L2:L4,"=-3")</f>
        <v>1</v>
      </c>
      <c r="H28" s="4" t="s">
        <v>53</v>
      </c>
      <c r="K28">
        <f>COUNTIFS(L2:L4,"=-1",U2:U4,"&lt;&gt;TRUE")+COUNTIFS(L2:L4,"=-3",U2:U4,"&lt;&gt;TRUE")</f>
        <v>1</v>
      </c>
    </row>
    <row r="29" spans="1:11" x14ac:dyDescent="0.25">
      <c r="A29" s="4" t="s">
        <v>54</v>
      </c>
      <c r="F29" s="8">
        <f>F23/F22</f>
        <v>0.66666666666666663</v>
      </c>
      <c r="H29" s="4" t="s">
        <v>54</v>
      </c>
      <c r="K29" s="8">
        <f>K23/K22</f>
        <v>0.66666666666666663</v>
      </c>
    </row>
    <row r="30" spans="1:11" x14ac:dyDescent="0.25">
      <c r="A30" s="4" t="s">
        <v>55</v>
      </c>
      <c r="F30" s="8">
        <f>F24/F22</f>
        <v>0.66666666666666663</v>
      </c>
      <c r="H30" s="4" t="s">
        <v>56</v>
      </c>
      <c r="K30" s="8">
        <f>K24/K22</f>
        <v>0.66666666666666663</v>
      </c>
    </row>
    <row r="31" spans="1:11" x14ac:dyDescent="0.25">
      <c r="A31" s="4" t="s">
        <v>57</v>
      </c>
      <c r="F31" s="8">
        <f>F23/(F23+F25)</f>
        <v>1</v>
      </c>
      <c r="H31" s="4" t="s">
        <v>57</v>
      </c>
      <c r="K31" s="8">
        <f>K23/(K23+K25)</f>
        <v>1</v>
      </c>
    </row>
    <row r="32" spans="1:11" x14ac:dyDescent="0.25">
      <c r="A32" s="4" t="s">
        <v>58</v>
      </c>
      <c r="F32" s="8">
        <f>F24/(F24+F26)</f>
        <v>1</v>
      </c>
      <c r="H32" s="4" t="s">
        <v>58</v>
      </c>
      <c r="K32" s="8">
        <f>K24/(K24+K26)</f>
        <v>1</v>
      </c>
    </row>
    <row r="35" spans="1:1" ht="15.75" x14ac:dyDescent="0.25">
      <c r="A35" s="3" t="s">
        <v>61</v>
      </c>
    </row>
    <row r="36" spans="1:1" x14ac:dyDescent="0.25">
      <c r="A36" s="1" t="s">
        <v>62</v>
      </c>
    </row>
    <row r="37" spans="1:1" x14ac:dyDescent="0.25">
      <c r="A37" s="5" t="s">
        <v>63</v>
      </c>
    </row>
    <row r="39" spans="1:1" x14ac:dyDescent="0.25">
      <c r="A39" s="1" t="s">
        <v>64</v>
      </c>
    </row>
    <row r="40" spans="1:1" x14ac:dyDescent="0.25">
      <c r="A40" s="6" t="s">
        <v>65</v>
      </c>
    </row>
    <row r="41" spans="1:1" x14ac:dyDescent="0.25">
      <c r="A41" s="7" t="s">
        <v>66</v>
      </c>
    </row>
    <row r="42" spans="1:1" x14ac:dyDescent="0.25">
      <c r="A42" s="5" t="s">
        <v>67</v>
      </c>
    </row>
    <row r="44" spans="1:1" x14ac:dyDescent="0.25">
      <c r="A44" s="4" t="s">
        <v>68</v>
      </c>
    </row>
    <row r="45" spans="1:1" x14ac:dyDescent="0.25">
      <c r="A45" t="s">
        <v>69</v>
      </c>
    </row>
    <row r="46" spans="1:1" x14ac:dyDescent="0.25">
      <c r="A46" t="s">
        <v>70</v>
      </c>
    </row>
    <row r="47" spans="1:1" x14ac:dyDescent="0.25">
      <c r="A47" t="s">
        <v>71</v>
      </c>
    </row>
    <row r="48" spans="1:1" x14ac:dyDescent="0.25">
      <c r="A48" t="s">
        <v>72</v>
      </c>
    </row>
    <row r="49" spans="1:1" x14ac:dyDescent="0.25">
      <c r="A49" t="s">
        <v>73</v>
      </c>
    </row>
    <row r="50" spans="1:1" x14ac:dyDescent="0.25">
      <c r="A50" t="s">
        <v>74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3"/>
  <sheetViews>
    <sheetView topLeftCell="A56" workbookViewId="0"/>
  </sheetViews>
  <sheetFormatPr baseColWidth="10" defaultColWidth="8.85546875" defaultRowHeight="15" x14ac:dyDescent="0.25"/>
  <cols>
    <col min="2" max="2" width="11" customWidth="1"/>
    <col min="3" max="3" width="9.140625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102</v>
      </c>
      <c r="B2" s="1" t="s">
        <v>103</v>
      </c>
      <c r="C2" t="s">
        <v>104</v>
      </c>
      <c r="D2" t="s">
        <v>105</v>
      </c>
      <c r="E2" t="s">
        <v>21</v>
      </c>
      <c r="F2">
        <v>0</v>
      </c>
      <c r="G2">
        <v>0</v>
      </c>
      <c r="M2" t="s">
        <v>106</v>
      </c>
      <c r="N2" t="s">
        <v>107</v>
      </c>
      <c r="O2" t="s">
        <v>17</v>
      </c>
      <c r="Q2" t="s">
        <v>108</v>
      </c>
    </row>
    <row r="3" spans="1:21" x14ac:dyDescent="0.25">
      <c r="A3" t="s">
        <v>102</v>
      </c>
      <c r="B3" s="1" t="s">
        <v>103</v>
      </c>
      <c r="C3" t="s">
        <v>109</v>
      </c>
      <c r="D3" t="s">
        <v>105</v>
      </c>
      <c r="E3" t="s">
        <v>21</v>
      </c>
      <c r="F3">
        <v>0</v>
      </c>
      <c r="G3">
        <v>0</v>
      </c>
      <c r="M3" t="s">
        <v>106</v>
      </c>
      <c r="N3" t="s">
        <v>110</v>
      </c>
      <c r="O3" t="s">
        <v>17</v>
      </c>
      <c r="Q3" t="s">
        <v>108</v>
      </c>
      <c r="R3" t="b">
        <v>1</v>
      </c>
      <c r="S3" t="b">
        <v>1</v>
      </c>
    </row>
    <row r="4" spans="1:21" x14ac:dyDescent="0.25">
      <c r="A4" t="s">
        <v>102</v>
      </c>
      <c r="B4" s="1" t="s">
        <v>111</v>
      </c>
      <c r="C4" t="s">
        <v>104</v>
      </c>
      <c r="D4" t="s">
        <v>112</v>
      </c>
      <c r="E4" t="s">
        <v>21</v>
      </c>
      <c r="F4">
        <v>0</v>
      </c>
      <c r="G4">
        <v>0</v>
      </c>
      <c r="M4" t="s">
        <v>113</v>
      </c>
      <c r="N4" t="s">
        <v>114</v>
      </c>
      <c r="O4" t="s">
        <v>17</v>
      </c>
      <c r="Q4" t="s">
        <v>108</v>
      </c>
    </row>
    <row r="5" spans="1:21" x14ac:dyDescent="0.25">
      <c r="A5" t="s">
        <v>102</v>
      </c>
      <c r="B5" s="1" t="s">
        <v>115</v>
      </c>
      <c r="C5" t="s">
        <v>109</v>
      </c>
      <c r="D5" t="s">
        <v>116</v>
      </c>
      <c r="E5" t="s">
        <v>21</v>
      </c>
      <c r="F5">
        <v>0</v>
      </c>
      <c r="G5">
        <v>0</v>
      </c>
      <c r="M5" t="s">
        <v>77</v>
      </c>
      <c r="N5" t="s">
        <v>117</v>
      </c>
      <c r="O5" t="s">
        <v>17</v>
      </c>
      <c r="Q5" t="s">
        <v>108</v>
      </c>
    </row>
    <row r="6" spans="1:21" x14ac:dyDescent="0.25">
      <c r="A6" t="s">
        <v>102</v>
      </c>
      <c r="B6" s="1" t="s">
        <v>118</v>
      </c>
      <c r="C6" t="s">
        <v>109</v>
      </c>
      <c r="D6" t="s">
        <v>119</v>
      </c>
      <c r="E6" t="s">
        <v>21</v>
      </c>
      <c r="F6">
        <v>0</v>
      </c>
      <c r="G6">
        <v>0</v>
      </c>
      <c r="M6" t="s">
        <v>95</v>
      </c>
      <c r="N6" t="s">
        <v>120</v>
      </c>
      <c r="O6" t="s">
        <v>17</v>
      </c>
      <c r="Q6" t="s">
        <v>108</v>
      </c>
    </row>
    <row r="7" spans="1:21" x14ac:dyDescent="0.25">
      <c r="A7" t="s">
        <v>102</v>
      </c>
      <c r="B7" s="1" t="s">
        <v>121</v>
      </c>
      <c r="C7" t="s">
        <v>104</v>
      </c>
      <c r="D7" t="s">
        <v>122</v>
      </c>
      <c r="E7" t="s">
        <v>21</v>
      </c>
      <c r="F7">
        <v>0</v>
      </c>
      <c r="G7">
        <v>0</v>
      </c>
      <c r="M7" t="s">
        <v>123</v>
      </c>
      <c r="N7" t="s">
        <v>124</v>
      </c>
      <c r="O7" t="s">
        <v>17</v>
      </c>
      <c r="Q7" t="s">
        <v>108</v>
      </c>
    </row>
    <row r="8" spans="1:21" x14ac:dyDescent="0.25">
      <c r="A8" t="s">
        <v>102</v>
      </c>
      <c r="B8" s="1" t="s">
        <v>125</v>
      </c>
      <c r="C8" t="s">
        <v>104</v>
      </c>
      <c r="D8" s="1" t="s">
        <v>125</v>
      </c>
      <c r="E8" s="1" t="s">
        <v>125</v>
      </c>
      <c r="F8" s="1">
        <v>2</v>
      </c>
      <c r="G8" s="1">
        <v>2</v>
      </c>
      <c r="H8" s="1" t="s">
        <v>126</v>
      </c>
      <c r="I8" s="1" t="s">
        <v>126</v>
      </c>
      <c r="J8" s="1" t="s">
        <v>126</v>
      </c>
      <c r="K8" s="1">
        <v>2</v>
      </c>
      <c r="L8" s="1">
        <v>2</v>
      </c>
      <c r="M8" t="s">
        <v>127</v>
      </c>
      <c r="N8" t="s">
        <v>128</v>
      </c>
      <c r="O8" t="s">
        <v>129</v>
      </c>
      <c r="P8">
        <v>5.5</v>
      </c>
    </row>
    <row r="9" spans="1:21" x14ac:dyDescent="0.25">
      <c r="A9" t="s">
        <v>102</v>
      </c>
      <c r="B9" s="1" t="s">
        <v>125</v>
      </c>
      <c r="C9" t="s">
        <v>109</v>
      </c>
      <c r="D9" s="1" t="s">
        <v>125</v>
      </c>
      <c r="E9" s="5" t="s">
        <v>21</v>
      </c>
      <c r="F9" s="1">
        <v>2</v>
      </c>
      <c r="G9" s="5">
        <v>-1</v>
      </c>
      <c r="H9" s="1" t="s">
        <v>126</v>
      </c>
      <c r="I9" s="1" t="s">
        <v>126</v>
      </c>
      <c r="J9" s="5" t="s">
        <v>21</v>
      </c>
      <c r="K9" s="1">
        <v>2</v>
      </c>
      <c r="L9" s="5">
        <v>-1</v>
      </c>
      <c r="M9" t="s">
        <v>127</v>
      </c>
      <c r="N9" t="s">
        <v>128</v>
      </c>
      <c r="O9" t="s">
        <v>17</v>
      </c>
      <c r="R9" t="b">
        <v>1</v>
      </c>
      <c r="S9" t="b">
        <v>1</v>
      </c>
      <c r="T9" t="b">
        <v>1</v>
      </c>
      <c r="U9" t="b">
        <v>1</v>
      </c>
    </row>
    <row r="10" spans="1:21" x14ac:dyDescent="0.25">
      <c r="A10" t="s">
        <v>102</v>
      </c>
      <c r="B10" s="1" t="s">
        <v>19</v>
      </c>
      <c r="C10" t="s">
        <v>104</v>
      </c>
      <c r="D10" s="1" t="s">
        <v>19</v>
      </c>
      <c r="E10" s="5" t="s">
        <v>21</v>
      </c>
      <c r="F10" s="1">
        <v>2</v>
      </c>
      <c r="G10" s="5">
        <v>-1</v>
      </c>
      <c r="H10" s="1" t="s">
        <v>130</v>
      </c>
      <c r="I10" s="1" t="s">
        <v>130</v>
      </c>
      <c r="J10" s="5" t="s">
        <v>21</v>
      </c>
      <c r="K10" s="1">
        <v>2</v>
      </c>
      <c r="L10" s="5">
        <v>-1</v>
      </c>
      <c r="M10" t="s">
        <v>131</v>
      </c>
      <c r="N10" t="s">
        <v>132</v>
      </c>
      <c r="O10" t="s">
        <v>17</v>
      </c>
    </row>
    <row r="11" spans="1:21" x14ac:dyDescent="0.25">
      <c r="A11" t="s">
        <v>102</v>
      </c>
      <c r="B11" s="1" t="s">
        <v>19</v>
      </c>
      <c r="C11" t="s">
        <v>109</v>
      </c>
      <c r="D11" s="1" t="s">
        <v>19</v>
      </c>
      <c r="E11" s="5" t="s">
        <v>21</v>
      </c>
      <c r="F11" s="1">
        <v>2</v>
      </c>
      <c r="G11" s="5">
        <v>-1</v>
      </c>
      <c r="H11" s="1" t="s">
        <v>130</v>
      </c>
      <c r="I11" s="1" t="s">
        <v>130</v>
      </c>
      <c r="J11" s="5" t="s">
        <v>21</v>
      </c>
      <c r="K11" s="1">
        <v>2</v>
      </c>
      <c r="L11" s="5">
        <v>-1</v>
      </c>
      <c r="M11" t="s">
        <v>131</v>
      </c>
      <c r="N11" t="s">
        <v>132</v>
      </c>
      <c r="O11" t="s">
        <v>17</v>
      </c>
      <c r="R11" t="b">
        <v>1</v>
      </c>
      <c r="S11" t="b">
        <v>1</v>
      </c>
      <c r="T11" t="b">
        <v>1</v>
      </c>
      <c r="U11" t="b">
        <v>1</v>
      </c>
    </row>
    <row r="12" spans="1:21" x14ac:dyDescent="0.25">
      <c r="A12" t="s">
        <v>102</v>
      </c>
      <c r="B12" s="1" t="s">
        <v>133</v>
      </c>
      <c r="C12" t="s">
        <v>104</v>
      </c>
      <c r="D12" t="s">
        <v>134</v>
      </c>
      <c r="E12" t="s">
        <v>21</v>
      </c>
      <c r="F12">
        <v>0</v>
      </c>
      <c r="G12">
        <v>0</v>
      </c>
      <c r="M12" t="s">
        <v>135</v>
      </c>
      <c r="N12" t="s">
        <v>136</v>
      </c>
      <c r="O12" t="s">
        <v>17</v>
      </c>
      <c r="Q12" t="s">
        <v>108</v>
      </c>
    </row>
    <row r="13" spans="1:21" x14ac:dyDescent="0.25">
      <c r="A13" t="s">
        <v>102</v>
      </c>
      <c r="B13" s="1" t="s">
        <v>133</v>
      </c>
      <c r="C13" t="s">
        <v>109</v>
      </c>
      <c r="D13" t="s">
        <v>134</v>
      </c>
      <c r="E13" t="s">
        <v>21</v>
      </c>
      <c r="F13">
        <v>0</v>
      </c>
      <c r="G13">
        <v>0</v>
      </c>
      <c r="M13" t="s">
        <v>135</v>
      </c>
      <c r="N13" t="s">
        <v>137</v>
      </c>
      <c r="O13" t="s">
        <v>17</v>
      </c>
      <c r="Q13" t="s">
        <v>108</v>
      </c>
      <c r="R13" t="b">
        <v>1</v>
      </c>
      <c r="S13" t="b">
        <v>1</v>
      </c>
    </row>
    <row r="14" spans="1:21" x14ac:dyDescent="0.25">
      <c r="A14" t="s">
        <v>102</v>
      </c>
      <c r="B14" s="1" t="s">
        <v>138</v>
      </c>
      <c r="C14" t="s">
        <v>104</v>
      </c>
      <c r="D14" s="1" t="s">
        <v>138</v>
      </c>
      <c r="E14" s="5" t="s">
        <v>21</v>
      </c>
      <c r="F14" s="1">
        <v>2</v>
      </c>
      <c r="G14" s="5">
        <v>-1</v>
      </c>
      <c r="H14" s="1" t="s">
        <v>139</v>
      </c>
      <c r="I14" s="1" t="s">
        <v>139</v>
      </c>
      <c r="J14" s="5" t="s">
        <v>21</v>
      </c>
      <c r="K14" s="1">
        <v>2</v>
      </c>
      <c r="L14" s="5">
        <v>-1</v>
      </c>
      <c r="M14" t="s">
        <v>140</v>
      </c>
      <c r="N14" t="s">
        <v>141</v>
      </c>
      <c r="O14" t="s">
        <v>17</v>
      </c>
    </row>
    <row r="15" spans="1:21" x14ac:dyDescent="0.25">
      <c r="H15" s="1" t="s">
        <v>142</v>
      </c>
      <c r="I15" s="1" t="s">
        <v>142</v>
      </c>
      <c r="J15" s="5" t="s">
        <v>21</v>
      </c>
      <c r="K15" s="1">
        <v>2</v>
      </c>
      <c r="L15" s="5">
        <v>-1</v>
      </c>
      <c r="M15" t="s">
        <v>140</v>
      </c>
      <c r="N15" t="s">
        <v>141</v>
      </c>
      <c r="O15" t="s">
        <v>17</v>
      </c>
    </row>
    <row r="16" spans="1:21" x14ac:dyDescent="0.25">
      <c r="A16" t="s">
        <v>102</v>
      </c>
      <c r="B16" s="1" t="s">
        <v>143</v>
      </c>
      <c r="C16" t="s">
        <v>109</v>
      </c>
      <c r="D16" t="s">
        <v>138</v>
      </c>
      <c r="E16" t="s">
        <v>21</v>
      </c>
      <c r="F16">
        <v>0</v>
      </c>
      <c r="G16">
        <v>0</v>
      </c>
      <c r="M16" t="s">
        <v>140</v>
      </c>
      <c r="N16" t="s">
        <v>110</v>
      </c>
      <c r="O16" t="s">
        <v>17</v>
      </c>
      <c r="Q16" t="s">
        <v>108</v>
      </c>
      <c r="R16" t="b">
        <v>1</v>
      </c>
      <c r="S16" t="b">
        <v>1</v>
      </c>
    </row>
    <row r="17" spans="1:21" x14ac:dyDescent="0.25">
      <c r="A17" t="s">
        <v>102</v>
      </c>
      <c r="B17" s="1" t="s">
        <v>144</v>
      </c>
      <c r="C17" t="s">
        <v>104</v>
      </c>
      <c r="D17" s="1" t="s">
        <v>144</v>
      </c>
      <c r="E17" s="1" t="s">
        <v>144</v>
      </c>
      <c r="F17" s="1">
        <v>2</v>
      </c>
      <c r="G17" s="1">
        <v>2</v>
      </c>
      <c r="H17" s="1" t="s">
        <v>145</v>
      </c>
      <c r="I17" s="1" t="s">
        <v>145</v>
      </c>
      <c r="J17" s="1" t="s">
        <v>145</v>
      </c>
      <c r="K17" s="1">
        <v>2</v>
      </c>
      <c r="L17" s="1">
        <v>2</v>
      </c>
      <c r="M17" t="s">
        <v>146</v>
      </c>
      <c r="N17" t="s">
        <v>147</v>
      </c>
      <c r="O17" t="s">
        <v>148</v>
      </c>
      <c r="P17">
        <v>5.5</v>
      </c>
    </row>
    <row r="18" spans="1:21" x14ac:dyDescent="0.25">
      <c r="A18" t="s">
        <v>102</v>
      </c>
      <c r="B18" s="1" t="s">
        <v>144</v>
      </c>
      <c r="C18" t="s">
        <v>109</v>
      </c>
      <c r="D18" s="1" t="s">
        <v>144</v>
      </c>
      <c r="E18" s="5" t="s">
        <v>21</v>
      </c>
      <c r="F18" s="1">
        <v>2</v>
      </c>
      <c r="G18" s="5">
        <v>-1</v>
      </c>
      <c r="H18" s="1" t="s">
        <v>145</v>
      </c>
      <c r="I18" s="1" t="s">
        <v>145</v>
      </c>
      <c r="J18" s="5" t="s">
        <v>21</v>
      </c>
      <c r="K18" s="1">
        <v>2</v>
      </c>
      <c r="L18" s="5">
        <v>-1</v>
      </c>
      <c r="M18" t="s">
        <v>146</v>
      </c>
      <c r="N18" t="s">
        <v>149</v>
      </c>
      <c r="O18" t="s">
        <v>17</v>
      </c>
      <c r="R18" t="b">
        <v>1</v>
      </c>
      <c r="S18" t="b">
        <v>1</v>
      </c>
      <c r="T18" t="b">
        <v>1</v>
      </c>
      <c r="U18" t="b">
        <v>1</v>
      </c>
    </row>
    <row r="19" spans="1:21" x14ac:dyDescent="0.25">
      <c r="A19" t="s">
        <v>102</v>
      </c>
      <c r="B19" s="1" t="s">
        <v>150</v>
      </c>
      <c r="C19" t="s">
        <v>104</v>
      </c>
      <c r="D19" s="1" t="s">
        <v>150</v>
      </c>
      <c r="E19" s="6" t="s">
        <v>150</v>
      </c>
      <c r="F19" s="1">
        <v>2</v>
      </c>
      <c r="G19" s="6">
        <v>1</v>
      </c>
      <c r="H19" s="1" t="s">
        <v>151</v>
      </c>
      <c r="I19" s="1" t="s">
        <v>151</v>
      </c>
      <c r="J19" s="6" t="s">
        <v>151</v>
      </c>
      <c r="K19" s="1">
        <v>2</v>
      </c>
      <c r="L19" s="6">
        <v>1</v>
      </c>
      <c r="M19" t="s">
        <v>113</v>
      </c>
      <c r="N19" t="s">
        <v>152</v>
      </c>
      <c r="O19" t="s">
        <v>153</v>
      </c>
      <c r="P19">
        <v>7.8</v>
      </c>
    </row>
    <row r="20" spans="1:21" x14ac:dyDescent="0.25">
      <c r="A20" t="s">
        <v>102</v>
      </c>
      <c r="B20" s="1" t="s">
        <v>150</v>
      </c>
      <c r="C20" t="s">
        <v>109</v>
      </c>
      <c r="D20" s="1" t="s">
        <v>150</v>
      </c>
      <c r="E20" s="5" t="s">
        <v>21</v>
      </c>
      <c r="F20" s="1">
        <v>2</v>
      </c>
      <c r="G20" s="5">
        <v>-1</v>
      </c>
      <c r="H20" s="1" t="s">
        <v>151</v>
      </c>
      <c r="I20" s="1" t="s">
        <v>151</v>
      </c>
      <c r="J20" s="5" t="s">
        <v>21</v>
      </c>
      <c r="K20" s="1">
        <v>2</v>
      </c>
      <c r="L20" s="5">
        <v>-1</v>
      </c>
      <c r="M20" t="s">
        <v>113</v>
      </c>
      <c r="N20" t="s">
        <v>152</v>
      </c>
      <c r="O20" t="s">
        <v>17</v>
      </c>
      <c r="R20" t="b">
        <v>1</v>
      </c>
      <c r="S20" t="b">
        <v>1</v>
      </c>
      <c r="T20" t="b">
        <v>1</v>
      </c>
      <c r="U20" t="b">
        <v>1</v>
      </c>
    </row>
    <row r="21" spans="1:21" x14ac:dyDescent="0.25">
      <c r="A21" t="s">
        <v>102</v>
      </c>
      <c r="B21" s="1" t="s">
        <v>23</v>
      </c>
      <c r="C21" t="s">
        <v>104</v>
      </c>
      <c r="D21" s="1" t="s">
        <v>23</v>
      </c>
      <c r="E21" s="1" t="s">
        <v>23</v>
      </c>
      <c r="F21" s="1">
        <v>2</v>
      </c>
      <c r="G21" s="1">
        <v>2</v>
      </c>
      <c r="H21" s="1" t="s">
        <v>154</v>
      </c>
      <c r="I21" s="1" t="s">
        <v>154</v>
      </c>
      <c r="J21" s="5" t="s">
        <v>21</v>
      </c>
      <c r="K21" s="1">
        <v>2</v>
      </c>
      <c r="L21" s="5">
        <v>-1</v>
      </c>
      <c r="M21" t="s">
        <v>155</v>
      </c>
      <c r="N21" t="s">
        <v>78</v>
      </c>
      <c r="O21" t="s">
        <v>17</v>
      </c>
    </row>
    <row r="22" spans="1:21" x14ac:dyDescent="0.25">
      <c r="H22" s="1" t="s">
        <v>156</v>
      </c>
      <c r="I22" s="1" t="s">
        <v>156</v>
      </c>
      <c r="J22" s="1" t="s">
        <v>156</v>
      </c>
      <c r="K22" s="1">
        <v>2</v>
      </c>
      <c r="L22" s="1">
        <v>2</v>
      </c>
      <c r="M22" t="s">
        <v>155</v>
      </c>
      <c r="N22" t="s">
        <v>78</v>
      </c>
      <c r="O22" t="s">
        <v>157</v>
      </c>
      <c r="P22">
        <v>1</v>
      </c>
    </row>
    <row r="23" spans="1:21" x14ac:dyDescent="0.25">
      <c r="A23" t="s">
        <v>102</v>
      </c>
      <c r="B23" s="1" t="s">
        <v>23</v>
      </c>
      <c r="C23" t="s">
        <v>109</v>
      </c>
      <c r="D23" s="1" t="s">
        <v>23</v>
      </c>
      <c r="E23" s="5" t="s">
        <v>21</v>
      </c>
      <c r="F23" s="1">
        <v>2</v>
      </c>
      <c r="G23" s="5">
        <v>-1</v>
      </c>
      <c r="H23" s="1" t="s">
        <v>154</v>
      </c>
      <c r="I23" s="1" t="s">
        <v>154</v>
      </c>
      <c r="J23" s="5" t="s">
        <v>21</v>
      </c>
      <c r="K23" s="1">
        <v>2</v>
      </c>
      <c r="L23" s="5">
        <v>-1</v>
      </c>
      <c r="M23" t="s">
        <v>155</v>
      </c>
      <c r="N23" t="s">
        <v>78</v>
      </c>
      <c r="O23" t="s">
        <v>17</v>
      </c>
      <c r="R23" t="b">
        <v>1</v>
      </c>
      <c r="S23" t="b">
        <v>1</v>
      </c>
      <c r="T23" t="b">
        <v>1</v>
      </c>
      <c r="U23" t="b">
        <v>1</v>
      </c>
    </row>
    <row r="24" spans="1:21" x14ac:dyDescent="0.25">
      <c r="H24" s="1" t="s">
        <v>156</v>
      </c>
      <c r="I24" s="1" t="s">
        <v>156</v>
      </c>
      <c r="J24" s="5" t="s">
        <v>21</v>
      </c>
      <c r="K24" s="1">
        <v>2</v>
      </c>
      <c r="L24" s="5">
        <v>-1</v>
      </c>
      <c r="M24" t="s">
        <v>155</v>
      </c>
      <c r="N24" t="s">
        <v>78</v>
      </c>
      <c r="O24" t="s">
        <v>17</v>
      </c>
      <c r="T24" t="b">
        <v>1</v>
      </c>
      <c r="U24" t="b">
        <v>1</v>
      </c>
    </row>
    <row r="25" spans="1:21" x14ac:dyDescent="0.25">
      <c r="A25" t="s">
        <v>102</v>
      </c>
      <c r="B25" s="1" t="s">
        <v>26</v>
      </c>
      <c r="C25" t="s">
        <v>104</v>
      </c>
      <c r="D25" s="1" t="s">
        <v>26</v>
      </c>
      <c r="E25" s="1" t="s">
        <v>26</v>
      </c>
      <c r="F25" s="1">
        <v>2</v>
      </c>
      <c r="G25" s="1">
        <v>2</v>
      </c>
      <c r="H25" s="1" t="s">
        <v>27</v>
      </c>
      <c r="I25" s="1" t="s">
        <v>27</v>
      </c>
      <c r="J25" s="1" t="s">
        <v>27</v>
      </c>
      <c r="K25" s="1">
        <v>2</v>
      </c>
      <c r="L25" s="1">
        <v>2</v>
      </c>
      <c r="M25" t="s">
        <v>158</v>
      </c>
      <c r="N25" t="s">
        <v>159</v>
      </c>
      <c r="O25" t="s">
        <v>160</v>
      </c>
      <c r="P25">
        <v>15.3</v>
      </c>
    </row>
    <row r="26" spans="1:21" x14ac:dyDescent="0.25">
      <c r="A26" t="s">
        <v>102</v>
      </c>
      <c r="B26" s="1" t="s">
        <v>26</v>
      </c>
      <c r="C26" t="s">
        <v>109</v>
      </c>
      <c r="D26" s="1" t="s">
        <v>26</v>
      </c>
      <c r="E26" s="1" t="s">
        <v>26</v>
      </c>
      <c r="F26" s="1">
        <v>2</v>
      </c>
      <c r="G26" s="1">
        <v>2</v>
      </c>
      <c r="H26" s="1" t="s">
        <v>27</v>
      </c>
      <c r="I26" s="1" t="s">
        <v>27</v>
      </c>
      <c r="J26" s="1" t="s">
        <v>27</v>
      </c>
      <c r="K26" s="1">
        <v>2</v>
      </c>
      <c r="L26" s="1">
        <v>2</v>
      </c>
      <c r="M26" t="s">
        <v>158</v>
      </c>
      <c r="N26" t="s">
        <v>159</v>
      </c>
      <c r="O26" t="s">
        <v>161</v>
      </c>
      <c r="P26">
        <v>32.799999999999997</v>
      </c>
      <c r="R26" t="b">
        <v>1</v>
      </c>
      <c r="S26" t="b">
        <v>1</v>
      </c>
      <c r="T26" t="b">
        <v>1</v>
      </c>
      <c r="U26" t="b">
        <v>1</v>
      </c>
    </row>
    <row r="27" spans="1:21" x14ac:dyDescent="0.25">
      <c r="A27" t="s">
        <v>102</v>
      </c>
      <c r="B27" s="1" t="s">
        <v>162</v>
      </c>
      <c r="C27" t="s">
        <v>104</v>
      </c>
      <c r="D27" t="s">
        <v>163</v>
      </c>
      <c r="E27" t="s">
        <v>21</v>
      </c>
      <c r="F27">
        <v>0</v>
      </c>
      <c r="G27">
        <v>0</v>
      </c>
      <c r="M27" t="s">
        <v>164</v>
      </c>
      <c r="N27" t="s">
        <v>165</v>
      </c>
      <c r="O27" t="s">
        <v>17</v>
      </c>
      <c r="Q27" t="s">
        <v>108</v>
      </c>
    </row>
    <row r="28" spans="1:21" x14ac:dyDescent="0.25">
      <c r="A28" t="s">
        <v>102</v>
      </c>
      <c r="B28" s="1" t="s">
        <v>30</v>
      </c>
      <c r="C28" t="s">
        <v>104</v>
      </c>
      <c r="D28" s="1" t="s">
        <v>30</v>
      </c>
      <c r="E28" s="5" t="s">
        <v>21</v>
      </c>
      <c r="F28" s="1">
        <v>2</v>
      </c>
      <c r="G28" s="5">
        <v>-1</v>
      </c>
      <c r="H28" s="1" t="s">
        <v>31</v>
      </c>
      <c r="I28" s="1" t="s">
        <v>166</v>
      </c>
      <c r="J28" s="5" t="s">
        <v>21</v>
      </c>
      <c r="K28" s="1">
        <v>2</v>
      </c>
      <c r="L28" s="5">
        <v>-1</v>
      </c>
      <c r="M28" t="s">
        <v>77</v>
      </c>
      <c r="N28" t="s">
        <v>167</v>
      </c>
      <c r="O28" t="s">
        <v>17</v>
      </c>
    </row>
    <row r="29" spans="1:21" x14ac:dyDescent="0.25">
      <c r="A29" t="s">
        <v>102</v>
      </c>
      <c r="B29" s="9" t="s">
        <v>285</v>
      </c>
      <c r="C29" t="s">
        <v>104</v>
      </c>
      <c r="D29" s="5" t="s">
        <v>21</v>
      </c>
      <c r="E29" s="5" t="s">
        <v>21</v>
      </c>
      <c r="F29" s="5">
        <v>-1</v>
      </c>
      <c r="G29" s="5">
        <v>-1</v>
      </c>
      <c r="H29" s="5"/>
      <c r="J29" s="5"/>
      <c r="L29" s="5"/>
      <c r="M29" t="s">
        <v>17</v>
      </c>
      <c r="N29" t="s">
        <v>17</v>
      </c>
      <c r="O29" t="s">
        <v>286</v>
      </c>
      <c r="P29">
        <v>1</v>
      </c>
      <c r="Q29" t="s">
        <v>287</v>
      </c>
    </row>
    <row r="30" spans="1:21" x14ac:dyDescent="0.25">
      <c r="A30" t="s">
        <v>102</v>
      </c>
      <c r="B30" s="1" t="s">
        <v>168</v>
      </c>
      <c r="C30" t="s">
        <v>104</v>
      </c>
      <c r="D30" s="1" t="s">
        <v>168</v>
      </c>
      <c r="E30" s="1" t="s">
        <v>168</v>
      </c>
      <c r="F30" s="1">
        <v>2</v>
      </c>
      <c r="G30" s="1">
        <v>2</v>
      </c>
      <c r="H30" s="1" t="s">
        <v>169</v>
      </c>
      <c r="I30" s="1" t="s">
        <v>169</v>
      </c>
      <c r="J30" s="1" t="s">
        <v>170</v>
      </c>
      <c r="K30" s="1">
        <v>2</v>
      </c>
      <c r="L30" s="1">
        <v>2</v>
      </c>
      <c r="M30" t="s">
        <v>171</v>
      </c>
      <c r="N30" t="s">
        <v>172</v>
      </c>
      <c r="O30" t="s">
        <v>173</v>
      </c>
      <c r="P30">
        <v>22.3</v>
      </c>
    </row>
    <row r="31" spans="1:21" x14ac:dyDescent="0.25">
      <c r="A31" t="s">
        <v>102</v>
      </c>
      <c r="B31" s="1" t="s">
        <v>168</v>
      </c>
      <c r="C31" t="s">
        <v>109</v>
      </c>
      <c r="D31" s="1" t="s">
        <v>168</v>
      </c>
      <c r="E31" s="5" t="s">
        <v>21</v>
      </c>
      <c r="F31" s="1">
        <v>2</v>
      </c>
      <c r="G31" s="5">
        <v>-1</v>
      </c>
      <c r="H31" s="1" t="s">
        <v>169</v>
      </c>
      <c r="I31" s="1" t="s">
        <v>169</v>
      </c>
      <c r="J31" s="5" t="s">
        <v>21</v>
      </c>
      <c r="K31" s="1">
        <v>2</v>
      </c>
      <c r="L31" s="5">
        <v>-1</v>
      </c>
      <c r="M31" t="s">
        <v>171</v>
      </c>
      <c r="N31" t="s">
        <v>174</v>
      </c>
      <c r="O31" t="s">
        <v>17</v>
      </c>
      <c r="R31" t="b">
        <v>1</v>
      </c>
      <c r="S31" t="b">
        <v>1</v>
      </c>
      <c r="T31" t="b">
        <v>1</v>
      </c>
      <c r="U31" t="b">
        <v>1</v>
      </c>
    </row>
    <row r="32" spans="1:21" x14ac:dyDescent="0.25">
      <c r="A32" t="s">
        <v>102</v>
      </c>
      <c r="B32" s="1" t="s">
        <v>34</v>
      </c>
      <c r="C32" t="s">
        <v>104</v>
      </c>
      <c r="D32" s="1" t="s">
        <v>34</v>
      </c>
      <c r="E32" s="6" t="s">
        <v>34</v>
      </c>
      <c r="F32" s="1">
        <v>2</v>
      </c>
      <c r="G32" s="6">
        <v>1</v>
      </c>
      <c r="H32" s="1" t="s">
        <v>35</v>
      </c>
      <c r="I32" s="1" t="s">
        <v>35</v>
      </c>
      <c r="J32" s="6" t="s">
        <v>35</v>
      </c>
      <c r="K32" s="1">
        <v>2</v>
      </c>
      <c r="L32" s="6">
        <v>1</v>
      </c>
      <c r="M32" t="s">
        <v>175</v>
      </c>
      <c r="N32" t="s">
        <v>176</v>
      </c>
      <c r="O32" t="s">
        <v>177</v>
      </c>
      <c r="P32">
        <v>15.4</v>
      </c>
    </row>
    <row r="33" spans="1:21" x14ac:dyDescent="0.25">
      <c r="A33" t="s">
        <v>102</v>
      </c>
      <c r="B33" s="1" t="s">
        <v>34</v>
      </c>
      <c r="C33" t="s">
        <v>109</v>
      </c>
      <c r="D33" s="1" t="s">
        <v>34</v>
      </c>
      <c r="E33" s="5" t="s">
        <v>21</v>
      </c>
      <c r="F33" s="1">
        <v>2</v>
      </c>
      <c r="G33" s="5">
        <v>-1</v>
      </c>
      <c r="H33" s="1" t="s">
        <v>35</v>
      </c>
      <c r="I33" s="1" t="s">
        <v>35</v>
      </c>
      <c r="J33" s="5" t="s">
        <v>21</v>
      </c>
      <c r="K33" s="1">
        <v>2</v>
      </c>
      <c r="L33" s="5">
        <v>-1</v>
      </c>
      <c r="M33" t="s">
        <v>175</v>
      </c>
      <c r="N33" t="s">
        <v>176</v>
      </c>
      <c r="O33" t="s">
        <v>17</v>
      </c>
      <c r="R33" t="b">
        <v>1</v>
      </c>
      <c r="S33" t="b">
        <v>1</v>
      </c>
      <c r="T33" t="b">
        <v>1</v>
      </c>
      <c r="U33" t="b">
        <v>1</v>
      </c>
    </row>
    <row r="34" spans="1:21" x14ac:dyDescent="0.25">
      <c r="A34" t="s">
        <v>102</v>
      </c>
      <c r="B34" s="1" t="s">
        <v>39</v>
      </c>
      <c r="C34" t="s">
        <v>104</v>
      </c>
      <c r="D34" s="1" t="s">
        <v>39</v>
      </c>
      <c r="E34" s="1" t="s">
        <v>39</v>
      </c>
      <c r="F34" s="1">
        <v>2</v>
      </c>
      <c r="G34" s="1">
        <v>2</v>
      </c>
      <c r="H34" s="1" t="s">
        <v>178</v>
      </c>
      <c r="I34" s="1" t="s">
        <v>178</v>
      </c>
      <c r="J34" s="1" t="s">
        <v>178</v>
      </c>
      <c r="K34" s="1">
        <v>2</v>
      </c>
      <c r="L34" s="1">
        <v>2</v>
      </c>
      <c r="M34" t="s">
        <v>179</v>
      </c>
      <c r="N34" t="s">
        <v>180</v>
      </c>
      <c r="O34" t="s">
        <v>181</v>
      </c>
      <c r="P34">
        <v>1.9</v>
      </c>
    </row>
    <row r="35" spans="1:21" x14ac:dyDescent="0.25">
      <c r="B35" s="1"/>
      <c r="D35" s="1"/>
      <c r="E35" s="1"/>
      <c r="F35" s="1"/>
      <c r="G35" s="1"/>
      <c r="H35" s="1" t="s">
        <v>277</v>
      </c>
      <c r="I35" s="5" t="s">
        <v>21</v>
      </c>
      <c r="J35" s="5" t="s">
        <v>21</v>
      </c>
      <c r="K35" s="5">
        <v>-1</v>
      </c>
      <c r="L35" s="5">
        <v>-1</v>
      </c>
      <c r="M35" t="s">
        <v>179</v>
      </c>
      <c r="N35" t="s">
        <v>17</v>
      </c>
      <c r="Q35" t="s">
        <v>278</v>
      </c>
    </row>
    <row r="36" spans="1:21" x14ac:dyDescent="0.25">
      <c r="A36" t="s">
        <v>102</v>
      </c>
      <c r="B36" s="1" t="s">
        <v>39</v>
      </c>
      <c r="C36" t="s">
        <v>109</v>
      </c>
      <c r="D36" s="5" t="s">
        <v>21</v>
      </c>
      <c r="E36" s="5" t="s">
        <v>21</v>
      </c>
      <c r="F36" s="5">
        <v>-1</v>
      </c>
      <c r="G36" s="5">
        <v>-1</v>
      </c>
      <c r="H36" s="1" t="s">
        <v>178</v>
      </c>
      <c r="I36" s="5" t="s">
        <v>21</v>
      </c>
      <c r="J36" s="5" t="s">
        <v>21</v>
      </c>
      <c r="K36" s="5">
        <v>-1</v>
      </c>
      <c r="L36" s="5">
        <v>-1</v>
      </c>
      <c r="M36" t="s">
        <v>179</v>
      </c>
      <c r="N36" t="s">
        <v>17</v>
      </c>
      <c r="Q36" t="s">
        <v>279</v>
      </c>
      <c r="R36" t="b">
        <v>1</v>
      </c>
      <c r="S36" t="b">
        <v>1</v>
      </c>
      <c r="T36" t="b">
        <v>1</v>
      </c>
      <c r="U36" t="b">
        <v>1</v>
      </c>
    </row>
    <row r="37" spans="1:21" x14ac:dyDescent="0.25">
      <c r="A37" t="s">
        <v>102</v>
      </c>
      <c r="B37" s="1" t="s">
        <v>182</v>
      </c>
      <c r="C37" t="s">
        <v>104</v>
      </c>
      <c r="D37" s="1" t="s">
        <v>182</v>
      </c>
      <c r="E37" s="1" t="s">
        <v>182</v>
      </c>
      <c r="F37" s="1">
        <v>2</v>
      </c>
      <c r="G37" s="1">
        <v>2</v>
      </c>
      <c r="H37" s="1" t="s">
        <v>183</v>
      </c>
      <c r="I37" s="1" t="s">
        <v>183</v>
      </c>
      <c r="J37" s="1" t="s">
        <v>184</v>
      </c>
      <c r="K37" s="1">
        <v>2</v>
      </c>
      <c r="L37" s="1">
        <v>2</v>
      </c>
      <c r="M37" t="s">
        <v>185</v>
      </c>
      <c r="N37" t="s">
        <v>186</v>
      </c>
      <c r="O37" t="s">
        <v>187</v>
      </c>
      <c r="P37">
        <v>32.6</v>
      </c>
    </row>
    <row r="38" spans="1:21" x14ac:dyDescent="0.25">
      <c r="H38" s="1" t="s">
        <v>188</v>
      </c>
      <c r="I38" s="1" t="s">
        <v>188</v>
      </c>
      <c r="J38" s="5" t="s">
        <v>21</v>
      </c>
      <c r="K38" s="1">
        <v>2</v>
      </c>
      <c r="L38" s="5">
        <v>-1</v>
      </c>
      <c r="M38" t="s">
        <v>185</v>
      </c>
      <c r="N38" t="s">
        <v>186</v>
      </c>
      <c r="O38" t="s">
        <v>17</v>
      </c>
    </row>
    <row r="39" spans="1:21" x14ac:dyDescent="0.25">
      <c r="A39" t="s">
        <v>102</v>
      </c>
      <c r="B39" s="1" t="s">
        <v>182</v>
      </c>
      <c r="C39" t="s">
        <v>109</v>
      </c>
      <c r="D39" s="1" t="s">
        <v>182</v>
      </c>
      <c r="E39" s="1" t="s">
        <v>182</v>
      </c>
      <c r="F39" s="1">
        <v>2</v>
      </c>
      <c r="G39" s="1">
        <v>2</v>
      </c>
      <c r="H39" s="1" t="s">
        <v>183</v>
      </c>
      <c r="I39" s="1" t="s">
        <v>189</v>
      </c>
      <c r="J39" s="1" t="s">
        <v>183</v>
      </c>
      <c r="K39" s="1">
        <v>2</v>
      </c>
      <c r="L39" s="1">
        <v>2</v>
      </c>
      <c r="M39" t="s">
        <v>185</v>
      </c>
      <c r="N39" t="s">
        <v>186</v>
      </c>
      <c r="O39" t="s">
        <v>190</v>
      </c>
      <c r="P39">
        <v>66.5</v>
      </c>
      <c r="R39" t="b">
        <v>1</v>
      </c>
      <c r="S39" t="b">
        <v>1</v>
      </c>
      <c r="T39" t="b">
        <v>1</v>
      </c>
      <c r="U39" t="b">
        <v>1</v>
      </c>
    </row>
    <row r="40" spans="1:21" x14ac:dyDescent="0.25">
      <c r="A40" t="s">
        <v>102</v>
      </c>
      <c r="B40" s="1" t="s">
        <v>191</v>
      </c>
      <c r="C40" t="s">
        <v>104</v>
      </c>
      <c r="D40" t="s">
        <v>192</v>
      </c>
      <c r="E40" t="s">
        <v>21</v>
      </c>
      <c r="F40">
        <v>0</v>
      </c>
      <c r="G40">
        <v>0</v>
      </c>
      <c r="M40" t="s">
        <v>179</v>
      </c>
      <c r="N40" t="s">
        <v>193</v>
      </c>
      <c r="O40" t="s">
        <v>17</v>
      </c>
      <c r="Q40" t="s">
        <v>108</v>
      </c>
    </row>
    <row r="41" spans="1:21" x14ac:dyDescent="0.25">
      <c r="A41" t="s">
        <v>102</v>
      </c>
      <c r="B41" s="1" t="s">
        <v>194</v>
      </c>
      <c r="C41" t="s">
        <v>104</v>
      </c>
      <c r="D41" t="s">
        <v>195</v>
      </c>
      <c r="E41" t="s">
        <v>21</v>
      </c>
      <c r="F41">
        <v>0</v>
      </c>
      <c r="G41">
        <v>0</v>
      </c>
      <c r="M41" t="s">
        <v>123</v>
      </c>
      <c r="N41" t="s">
        <v>124</v>
      </c>
      <c r="O41" t="s">
        <v>17</v>
      </c>
      <c r="Q41" t="s">
        <v>108</v>
      </c>
    </row>
    <row r="42" spans="1:21" x14ac:dyDescent="0.25">
      <c r="A42" t="s">
        <v>102</v>
      </c>
      <c r="B42" s="1" t="s">
        <v>194</v>
      </c>
      <c r="C42" t="s">
        <v>109</v>
      </c>
      <c r="D42" t="s">
        <v>195</v>
      </c>
      <c r="E42" t="s">
        <v>21</v>
      </c>
      <c r="F42">
        <v>0</v>
      </c>
      <c r="G42">
        <v>0</v>
      </c>
      <c r="M42" t="s">
        <v>123</v>
      </c>
      <c r="N42" t="s">
        <v>196</v>
      </c>
      <c r="O42" t="s">
        <v>17</v>
      </c>
      <c r="Q42" t="s">
        <v>108</v>
      </c>
      <c r="R42" t="b">
        <v>1</v>
      </c>
      <c r="S42" t="b">
        <v>1</v>
      </c>
    </row>
    <row r="43" spans="1:21" x14ac:dyDescent="0.25">
      <c r="A43" t="s">
        <v>102</v>
      </c>
      <c r="B43" s="1" t="s">
        <v>197</v>
      </c>
      <c r="C43" t="s">
        <v>104</v>
      </c>
      <c r="D43" t="s">
        <v>198</v>
      </c>
      <c r="E43" t="s">
        <v>21</v>
      </c>
      <c r="F43">
        <v>0</v>
      </c>
      <c r="G43">
        <v>0</v>
      </c>
      <c r="M43" t="s">
        <v>80</v>
      </c>
      <c r="N43" t="s">
        <v>199</v>
      </c>
      <c r="O43" t="s">
        <v>17</v>
      </c>
      <c r="Q43" t="s">
        <v>108</v>
      </c>
    </row>
    <row r="44" spans="1:21" x14ac:dyDescent="0.25">
      <c r="A44" t="s">
        <v>102</v>
      </c>
      <c r="B44" s="1" t="s">
        <v>197</v>
      </c>
      <c r="C44" t="s">
        <v>109</v>
      </c>
      <c r="D44" t="s">
        <v>198</v>
      </c>
      <c r="E44" t="s">
        <v>21</v>
      </c>
      <c r="F44">
        <v>0</v>
      </c>
      <c r="G44">
        <v>0</v>
      </c>
      <c r="M44" t="s">
        <v>80</v>
      </c>
      <c r="N44" t="s">
        <v>200</v>
      </c>
      <c r="O44" t="s">
        <v>17</v>
      </c>
      <c r="Q44" t="s">
        <v>108</v>
      </c>
      <c r="R44" t="b">
        <v>1</v>
      </c>
      <c r="S44" t="b">
        <v>1</v>
      </c>
    </row>
    <row r="45" spans="1:21" x14ac:dyDescent="0.25">
      <c r="A45" t="s">
        <v>102</v>
      </c>
      <c r="B45" s="1" t="s">
        <v>41</v>
      </c>
      <c r="C45" t="s">
        <v>104</v>
      </c>
      <c r="D45" s="1" t="s">
        <v>41</v>
      </c>
      <c r="E45" s="1" t="s">
        <v>41</v>
      </c>
      <c r="F45" s="1">
        <v>2</v>
      </c>
      <c r="G45" s="1">
        <v>2</v>
      </c>
      <c r="H45" s="1" t="s">
        <v>42</v>
      </c>
      <c r="I45" s="1" t="s">
        <v>201</v>
      </c>
      <c r="J45" s="1" t="s">
        <v>98</v>
      </c>
      <c r="K45" s="1">
        <v>2</v>
      </c>
      <c r="L45" s="1">
        <v>2</v>
      </c>
      <c r="M45" t="s">
        <v>140</v>
      </c>
      <c r="N45" t="s">
        <v>141</v>
      </c>
      <c r="O45" t="s">
        <v>202</v>
      </c>
      <c r="P45">
        <v>39.6</v>
      </c>
    </row>
    <row r="46" spans="1:21" x14ac:dyDescent="0.25">
      <c r="B46" s="1"/>
      <c r="D46" s="1"/>
      <c r="E46" s="1"/>
      <c r="F46" s="1"/>
      <c r="G46" s="1"/>
      <c r="H46" s="1" t="s">
        <v>280</v>
      </c>
      <c r="I46" s="5" t="s">
        <v>21</v>
      </c>
      <c r="J46" s="5" t="s">
        <v>21</v>
      </c>
      <c r="K46" s="5">
        <v>-1</v>
      </c>
      <c r="L46" s="5">
        <v>-1</v>
      </c>
      <c r="M46" t="s">
        <v>140</v>
      </c>
      <c r="N46" t="s">
        <v>17</v>
      </c>
      <c r="Q46" t="s">
        <v>281</v>
      </c>
    </row>
    <row r="47" spans="1:21" x14ac:dyDescent="0.25">
      <c r="A47" t="s">
        <v>102</v>
      </c>
      <c r="B47" s="1" t="s">
        <v>41</v>
      </c>
      <c r="C47" t="s">
        <v>109</v>
      </c>
      <c r="D47" s="5" t="s">
        <v>21</v>
      </c>
      <c r="E47" s="5" t="s">
        <v>21</v>
      </c>
      <c r="F47" s="5">
        <v>-1</v>
      </c>
      <c r="G47" s="5">
        <v>-1</v>
      </c>
      <c r="H47" s="1" t="s">
        <v>42</v>
      </c>
      <c r="I47" s="5" t="s">
        <v>21</v>
      </c>
      <c r="J47" s="5" t="s">
        <v>21</v>
      </c>
      <c r="K47" s="5">
        <v>-1</v>
      </c>
      <c r="L47" s="5">
        <v>-1</v>
      </c>
      <c r="M47" t="s">
        <v>140</v>
      </c>
      <c r="N47" t="s">
        <v>17</v>
      </c>
      <c r="Q47" t="s">
        <v>282</v>
      </c>
      <c r="R47" t="b">
        <v>1</v>
      </c>
      <c r="S47" t="b">
        <v>1</v>
      </c>
      <c r="T47" t="b">
        <v>1</v>
      </c>
      <c r="U47" t="b">
        <v>1</v>
      </c>
    </row>
    <row r="48" spans="1:21" x14ac:dyDescent="0.25">
      <c r="A48" t="s">
        <v>102</v>
      </c>
      <c r="B48" s="1" t="s">
        <v>203</v>
      </c>
      <c r="C48" t="s">
        <v>104</v>
      </c>
      <c r="D48" s="1" t="s">
        <v>203</v>
      </c>
      <c r="E48" s="1" t="s">
        <v>203</v>
      </c>
      <c r="F48" s="1">
        <v>2</v>
      </c>
      <c r="G48" s="1">
        <v>2</v>
      </c>
      <c r="H48" s="1" t="s">
        <v>204</v>
      </c>
      <c r="I48" s="1" t="s">
        <v>205</v>
      </c>
      <c r="J48" s="1" t="s">
        <v>204</v>
      </c>
      <c r="K48" s="1">
        <v>2</v>
      </c>
      <c r="L48" s="1">
        <v>2</v>
      </c>
      <c r="M48" t="s">
        <v>158</v>
      </c>
      <c r="N48" t="s">
        <v>206</v>
      </c>
      <c r="O48" t="s">
        <v>207</v>
      </c>
      <c r="P48">
        <v>5.5</v>
      </c>
    </row>
    <row r="49" spans="1:19" x14ac:dyDescent="0.25">
      <c r="A49" t="s">
        <v>102</v>
      </c>
      <c r="B49" s="1" t="s">
        <v>208</v>
      </c>
      <c r="C49" t="s">
        <v>109</v>
      </c>
      <c r="D49" t="s">
        <v>203</v>
      </c>
      <c r="E49" t="s">
        <v>21</v>
      </c>
      <c r="F49">
        <v>0</v>
      </c>
      <c r="G49">
        <v>0</v>
      </c>
      <c r="M49" t="s">
        <v>158</v>
      </c>
      <c r="N49" t="s">
        <v>209</v>
      </c>
      <c r="O49" t="s">
        <v>17</v>
      </c>
      <c r="Q49" t="s">
        <v>108</v>
      </c>
      <c r="R49" t="b">
        <v>1</v>
      </c>
      <c r="S49" t="b">
        <v>1</v>
      </c>
    </row>
    <row r="50" spans="1:19" x14ac:dyDescent="0.25">
      <c r="A50" t="s">
        <v>102</v>
      </c>
      <c r="B50" s="1" t="s">
        <v>210</v>
      </c>
      <c r="C50" t="s">
        <v>104</v>
      </c>
      <c r="D50" t="s">
        <v>211</v>
      </c>
      <c r="E50" t="s">
        <v>21</v>
      </c>
      <c r="F50">
        <v>0</v>
      </c>
      <c r="G50">
        <v>0</v>
      </c>
      <c r="M50" t="s">
        <v>36</v>
      </c>
      <c r="N50" t="s">
        <v>137</v>
      </c>
      <c r="O50" t="s">
        <v>17</v>
      </c>
      <c r="Q50" t="s">
        <v>108</v>
      </c>
    </row>
    <row r="51" spans="1:19" x14ac:dyDescent="0.25">
      <c r="A51" t="s">
        <v>102</v>
      </c>
      <c r="B51" s="1" t="s">
        <v>210</v>
      </c>
      <c r="C51" t="s">
        <v>109</v>
      </c>
      <c r="D51" t="s">
        <v>211</v>
      </c>
      <c r="E51" t="s">
        <v>21</v>
      </c>
      <c r="F51">
        <v>0</v>
      </c>
      <c r="G51">
        <v>0</v>
      </c>
      <c r="M51" t="s">
        <v>36</v>
      </c>
      <c r="N51" t="s">
        <v>212</v>
      </c>
      <c r="O51" t="s">
        <v>17</v>
      </c>
      <c r="Q51" t="s">
        <v>108</v>
      </c>
      <c r="R51" t="b">
        <v>1</v>
      </c>
      <c r="S51" t="b">
        <v>1</v>
      </c>
    </row>
    <row r="52" spans="1:19" x14ac:dyDescent="0.25">
      <c r="A52" t="s">
        <v>102</v>
      </c>
      <c r="B52" s="1" t="s">
        <v>267</v>
      </c>
      <c r="C52" t="s">
        <v>104</v>
      </c>
      <c r="D52" s="5" t="s">
        <v>21</v>
      </c>
      <c r="E52" s="5" t="s">
        <v>21</v>
      </c>
      <c r="F52" s="5">
        <v>-1</v>
      </c>
      <c r="G52" s="5">
        <v>-1</v>
      </c>
      <c r="H52" s="1" t="s">
        <v>283</v>
      </c>
      <c r="I52" s="5" t="s">
        <v>21</v>
      </c>
      <c r="J52" s="5" t="s">
        <v>21</v>
      </c>
      <c r="K52" s="5">
        <v>-1</v>
      </c>
      <c r="L52" s="5">
        <v>-1</v>
      </c>
      <c r="M52" t="s">
        <v>32</v>
      </c>
      <c r="N52" t="s">
        <v>17</v>
      </c>
      <c r="Q52" t="s">
        <v>284</v>
      </c>
    </row>
    <row r="53" spans="1:19" x14ac:dyDescent="0.25">
      <c r="A53" t="s">
        <v>102</v>
      </c>
      <c r="B53" s="1" t="s">
        <v>213</v>
      </c>
      <c r="C53" t="s">
        <v>104</v>
      </c>
      <c r="D53" t="s">
        <v>214</v>
      </c>
      <c r="E53" t="s">
        <v>21</v>
      </c>
      <c r="F53">
        <v>0</v>
      </c>
      <c r="G53">
        <v>0</v>
      </c>
      <c r="M53" t="s">
        <v>215</v>
      </c>
      <c r="N53" t="s">
        <v>216</v>
      </c>
      <c r="O53" t="s">
        <v>17</v>
      </c>
      <c r="Q53" t="s">
        <v>108</v>
      </c>
    </row>
    <row r="54" spans="1:19" x14ac:dyDescent="0.25">
      <c r="A54" t="s">
        <v>102</v>
      </c>
      <c r="B54" s="1" t="s">
        <v>217</v>
      </c>
      <c r="C54" t="s">
        <v>109</v>
      </c>
      <c r="D54" t="s">
        <v>218</v>
      </c>
      <c r="E54" t="s">
        <v>21</v>
      </c>
      <c r="F54">
        <v>0</v>
      </c>
      <c r="G54">
        <v>0</v>
      </c>
      <c r="M54" t="s">
        <v>127</v>
      </c>
      <c r="N54" t="s">
        <v>219</v>
      </c>
      <c r="O54" t="s">
        <v>17</v>
      </c>
      <c r="Q54" t="s">
        <v>108</v>
      </c>
    </row>
    <row r="55" spans="1:19" x14ac:dyDescent="0.25">
      <c r="A55" t="s">
        <v>102</v>
      </c>
      <c r="B55" s="1" t="s">
        <v>220</v>
      </c>
      <c r="C55" t="s">
        <v>109</v>
      </c>
      <c r="D55" t="s">
        <v>221</v>
      </c>
      <c r="E55" t="s">
        <v>21</v>
      </c>
      <c r="F55">
        <v>0</v>
      </c>
      <c r="G55">
        <v>0</v>
      </c>
      <c r="M55" t="s">
        <v>99</v>
      </c>
      <c r="N55" t="s">
        <v>120</v>
      </c>
      <c r="O55" t="s">
        <v>17</v>
      </c>
      <c r="Q55" t="s">
        <v>108</v>
      </c>
    </row>
    <row r="56" spans="1:19" x14ac:dyDescent="0.25">
      <c r="A56" t="s">
        <v>102</v>
      </c>
      <c r="B56" s="1" t="s">
        <v>222</v>
      </c>
      <c r="C56" t="s">
        <v>104</v>
      </c>
      <c r="D56" t="s">
        <v>223</v>
      </c>
      <c r="E56" t="s">
        <v>21</v>
      </c>
      <c r="F56">
        <v>0</v>
      </c>
      <c r="G56">
        <v>0</v>
      </c>
      <c r="M56" t="s">
        <v>43</v>
      </c>
      <c r="N56" t="s">
        <v>224</v>
      </c>
      <c r="O56" t="s">
        <v>17</v>
      </c>
      <c r="Q56" t="s">
        <v>108</v>
      </c>
    </row>
    <row r="57" spans="1:19" x14ac:dyDescent="0.25">
      <c r="A57" t="s">
        <v>102</v>
      </c>
      <c r="B57" s="1" t="s">
        <v>222</v>
      </c>
      <c r="C57" t="s">
        <v>109</v>
      </c>
      <c r="D57" t="s">
        <v>223</v>
      </c>
      <c r="E57" t="s">
        <v>21</v>
      </c>
      <c r="F57">
        <v>0</v>
      </c>
      <c r="G57">
        <v>0</v>
      </c>
      <c r="M57" t="s">
        <v>43</v>
      </c>
      <c r="N57" t="s">
        <v>224</v>
      </c>
      <c r="O57" t="s">
        <v>17</v>
      </c>
      <c r="Q57" t="s">
        <v>108</v>
      </c>
      <c r="R57" t="b">
        <v>1</v>
      </c>
      <c r="S57" t="b">
        <v>1</v>
      </c>
    </row>
    <row r="60" spans="1:19" ht="15.75" x14ac:dyDescent="0.25">
      <c r="A60" s="3" t="s">
        <v>45</v>
      </c>
      <c r="H60" s="3" t="s">
        <v>46</v>
      </c>
    </row>
    <row r="61" spans="1:19" x14ac:dyDescent="0.25">
      <c r="A61" s="4" t="s">
        <v>47</v>
      </c>
      <c r="F61">
        <f>COUNTIFS(B2:B57,"&lt;&gt;*_*",B2:B57,"&lt;&gt;")</f>
        <v>27</v>
      </c>
      <c r="H61" s="4" t="s">
        <v>47</v>
      </c>
      <c r="K61">
        <f>COUNTIFS(B2:B57,"&lt;&gt;*_*",B2:B57,"&lt;&gt;",R2:R57,"&lt;&gt;TRUE")</f>
        <v>16</v>
      </c>
    </row>
    <row r="62" spans="1:19" x14ac:dyDescent="0.25">
      <c r="A62" s="4" t="s">
        <v>48</v>
      </c>
      <c r="F62">
        <f>COUNTIFS(F2:F57,"&gt;0")</f>
        <v>23</v>
      </c>
      <c r="H62" s="4" t="s">
        <v>48</v>
      </c>
      <c r="K62">
        <f>COUNTIFS(F2:F57,"&gt;0",R2:R57,"&lt;&gt;TRUE")</f>
        <v>14</v>
      </c>
    </row>
    <row r="63" spans="1:19" x14ac:dyDescent="0.25">
      <c r="A63" s="4" t="s">
        <v>49</v>
      </c>
      <c r="F63">
        <f>COUNTIFS(G2:G57,"&gt;0")</f>
        <v>13</v>
      </c>
      <c r="H63" s="4" t="s">
        <v>49</v>
      </c>
      <c r="K63">
        <f>COUNTIFS(G2:G57,"&gt;0",S2:S57,"&lt;&gt;TRUE")</f>
        <v>11</v>
      </c>
    </row>
    <row r="64" spans="1:19" x14ac:dyDescent="0.25">
      <c r="A64" s="4" t="s">
        <v>50</v>
      </c>
      <c r="F64">
        <f>COUNTIFS(F2:F57,"&lt;&gt;-1",F2:F57,"&lt;&gt;0",F2:F57,"&lt;2")</f>
        <v>0</v>
      </c>
      <c r="H64" s="4" t="s">
        <v>50</v>
      </c>
      <c r="K64">
        <f>COUNTIFS(F2:F57,"&lt;&gt;-1",F2:F57,"&lt;&gt;0",F2:F57,"&lt;2",R2:R57,"&lt;&gt;TRUE")</f>
        <v>0</v>
      </c>
    </row>
    <row r="65" spans="1:11" x14ac:dyDescent="0.25">
      <c r="A65" s="4" t="s">
        <v>51</v>
      </c>
      <c r="F65">
        <f>COUNTIFS(G2:G57,"&lt;&gt;-1",G2:G57,"&lt;&gt;0",G2:G57,"&lt;2")</f>
        <v>2</v>
      </c>
      <c r="H65" s="4" t="s">
        <v>51</v>
      </c>
      <c r="K65">
        <f>COUNTIFS(G2:G57,"&lt;&gt;-1",G2:G57,"&lt;&gt;0",G2:G57,"&lt;2",S2:S57,"&lt;&gt;TRUE")</f>
        <v>2</v>
      </c>
    </row>
    <row r="66" spans="1:11" x14ac:dyDescent="0.25">
      <c r="A66" s="4" t="s">
        <v>52</v>
      </c>
      <c r="F66">
        <f>COUNTIFS(F2:F57,"=-1")+COUNTIFS(F2:F57,"=-3")</f>
        <v>4</v>
      </c>
      <c r="H66" s="4" t="s">
        <v>52</v>
      </c>
      <c r="K66">
        <f>COUNTIFS(F2:F57,"=-1",R2:R57,"&lt;&gt;TRUE")+COUNTIFS(F2:F57,"=-3",R2:R57,"&lt;&gt;TRUE")</f>
        <v>2</v>
      </c>
    </row>
    <row r="67" spans="1:11" x14ac:dyDescent="0.25">
      <c r="A67" s="4" t="s">
        <v>53</v>
      </c>
      <c r="F67">
        <f>COUNTIFS(G2:G57,"=-1")+COUNTIFS(G2:G57,"=-3")</f>
        <v>14</v>
      </c>
      <c r="H67" s="4" t="s">
        <v>53</v>
      </c>
      <c r="K67">
        <f>COUNTIFS(G2:G57,"=-1",S2:S57,"&lt;&gt;TRUE")+COUNTIFS(G2:G57,"=-3",S2:S57,"&lt;&gt;TRUE")</f>
        <v>5</v>
      </c>
    </row>
    <row r="68" spans="1:11" x14ac:dyDescent="0.25">
      <c r="A68" s="4" t="s">
        <v>54</v>
      </c>
      <c r="F68" s="8">
        <f>F62/F61</f>
        <v>0.85185185185185186</v>
      </c>
      <c r="H68" s="4" t="s">
        <v>54</v>
      </c>
      <c r="K68" s="8">
        <f>K62/K61</f>
        <v>0.875</v>
      </c>
    </row>
    <row r="69" spans="1:11" x14ac:dyDescent="0.25">
      <c r="A69" s="4" t="s">
        <v>55</v>
      </c>
      <c r="F69" s="8">
        <f>F63/F61</f>
        <v>0.48148148148148145</v>
      </c>
      <c r="H69" s="4" t="s">
        <v>56</v>
      </c>
      <c r="K69" s="8">
        <f>K63/K61</f>
        <v>0.6875</v>
      </c>
    </row>
    <row r="70" spans="1:11" x14ac:dyDescent="0.25">
      <c r="A70" s="4" t="s">
        <v>57</v>
      </c>
      <c r="F70" s="8">
        <f>F62/(F62+F64)</f>
        <v>1</v>
      </c>
      <c r="H70" s="4" t="s">
        <v>57</v>
      </c>
      <c r="K70" s="8">
        <f>K62/(K62+K64)</f>
        <v>1</v>
      </c>
    </row>
    <row r="71" spans="1:11" x14ac:dyDescent="0.25">
      <c r="A71" s="4" t="s">
        <v>58</v>
      </c>
      <c r="F71" s="8">
        <f>F63/(F63+F65)</f>
        <v>0.8666666666666667</v>
      </c>
      <c r="H71" s="4" t="s">
        <v>58</v>
      </c>
      <c r="K71" s="8">
        <f>K63/(K63+K65)</f>
        <v>0.84615384615384615</v>
      </c>
    </row>
    <row r="74" spans="1:11" ht="15.75" x14ac:dyDescent="0.25">
      <c r="A74" s="3" t="s">
        <v>59</v>
      </c>
      <c r="H74" s="3" t="s">
        <v>60</v>
      </c>
    </row>
    <row r="75" spans="1:11" x14ac:dyDescent="0.25">
      <c r="A75" s="4" t="s">
        <v>47</v>
      </c>
      <c r="F75">
        <f>COUNTIFS(H2:H57,"&lt;&gt;*_FP",H2:H57,"&lt;&gt;",H2:H57,"&lt;&gt;no structure")</f>
        <v>32</v>
      </c>
      <c r="H75" s="4" t="s">
        <v>47</v>
      </c>
      <c r="K75">
        <f>COUNTIFS(H2:H57,"&lt;&gt;*_FP",H2:H57,"&lt;&gt;",H2:H57,"&lt;&gt;no structure",T2:T57,"&lt;&gt;TRUE")</f>
        <v>20</v>
      </c>
    </row>
    <row r="76" spans="1:11" x14ac:dyDescent="0.25">
      <c r="A76" s="4" t="s">
        <v>48</v>
      </c>
      <c r="F76">
        <f>COUNTIFS(K2:K57,"&gt;0")</f>
        <v>27</v>
      </c>
      <c r="H76" s="4" t="s">
        <v>48</v>
      </c>
      <c r="K76">
        <f>COUNTIFS(K2:K57,"&gt;0",T2:T57,"&lt;&gt;TRUE")</f>
        <v>17</v>
      </c>
    </row>
    <row r="77" spans="1:11" x14ac:dyDescent="0.25">
      <c r="A77" s="4" t="s">
        <v>49</v>
      </c>
      <c r="F77">
        <f>COUNTIFS(L2:L57,"&gt;0")</f>
        <v>13</v>
      </c>
      <c r="H77" s="4" t="s">
        <v>49</v>
      </c>
      <c r="K77">
        <f>COUNTIFS(L2:L57,"&gt;0",U2:U57,"&lt;&gt;TRUE")</f>
        <v>11</v>
      </c>
    </row>
    <row r="78" spans="1:11" x14ac:dyDescent="0.25">
      <c r="A78" s="4" t="s">
        <v>50</v>
      </c>
      <c r="F78">
        <f>COUNTIFS(K2:K57,"&lt;&gt;-1",K2:K57,"&lt;&gt;0",K2:K57,"&lt;2")</f>
        <v>0</v>
      </c>
      <c r="H78" s="4" t="s">
        <v>50</v>
      </c>
      <c r="K78">
        <f>COUNTIFS(K2:K57,"&lt;&gt;-1",K2:K57,"&lt;&gt;0",K2:K57,"&lt;2",T2:T57,"&lt;&gt;TRUE")</f>
        <v>0</v>
      </c>
    </row>
    <row r="79" spans="1:11" x14ac:dyDescent="0.25">
      <c r="A79" s="4" t="s">
        <v>51</v>
      </c>
      <c r="F79">
        <f>COUNTIFS(L2:L57,"&lt;&gt;-1",L2:L57,"&lt;&gt;0",L2:L57,"&lt;2")</f>
        <v>2</v>
      </c>
      <c r="H79" s="4" t="s">
        <v>51</v>
      </c>
      <c r="K79">
        <f>COUNTIFS(L2:L57,"&lt;&gt;-1",L2:L57,"&lt;&gt;0",L2:L57,"&lt;2",U2:U57,"&lt;&gt;TRUE")</f>
        <v>2</v>
      </c>
    </row>
    <row r="80" spans="1:11" x14ac:dyDescent="0.25">
      <c r="A80" s="4" t="s">
        <v>52</v>
      </c>
      <c r="F80">
        <f>COUNTIFS(K2:K57,"=-1")+COUNTIFS(K2:K57,"=-3")</f>
        <v>5</v>
      </c>
      <c r="H80" s="4" t="s">
        <v>52</v>
      </c>
      <c r="K80">
        <f>COUNTIFS(K2:K57,"=-1",T2:T57,"&lt;&gt;TRUE")+COUNTIFS(K2:K57,"=-3",T2:T57,"&lt;&gt;TRUE")</f>
        <v>3</v>
      </c>
    </row>
    <row r="81" spans="1:11" x14ac:dyDescent="0.25">
      <c r="A81" s="4" t="s">
        <v>53</v>
      </c>
      <c r="F81">
        <f>COUNTIFS(L2:L57,"=-1")+COUNTIFS(L2:L57,"=-3")</f>
        <v>19</v>
      </c>
      <c r="H81" s="4" t="s">
        <v>53</v>
      </c>
      <c r="K81">
        <f>COUNTIFS(L2:L57,"=-1",U2:U57,"&lt;&gt;TRUE")+COUNTIFS(L2:L57,"=-3",U2:U57,"&lt;&gt;TRUE")</f>
        <v>9</v>
      </c>
    </row>
    <row r="82" spans="1:11" x14ac:dyDescent="0.25">
      <c r="A82" s="4" t="s">
        <v>54</v>
      </c>
      <c r="F82" s="8">
        <f>F76/F75</f>
        <v>0.84375</v>
      </c>
      <c r="H82" s="4" t="s">
        <v>54</v>
      </c>
      <c r="K82" s="8">
        <f>K76/K75</f>
        <v>0.85</v>
      </c>
    </row>
    <row r="83" spans="1:11" x14ac:dyDescent="0.25">
      <c r="A83" s="4" t="s">
        <v>55</v>
      </c>
      <c r="F83" s="8">
        <f>F77/F75</f>
        <v>0.40625</v>
      </c>
      <c r="H83" s="4" t="s">
        <v>56</v>
      </c>
      <c r="K83" s="8">
        <f>K77/K75</f>
        <v>0.55000000000000004</v>
      </c>
    </row>
    <row r="84" spans="1:11" x14ac:dyDescent="0.25">
      <c r="A84" s="4" t="s">
        <v>57</v>
      </c>
      <c r="F84" s="8">
        <f>F76/(F76+F78)</f>
        <v>1</v>
      </c>
      <c r="H84" s="4" t="s">
        <v>57</v>
      </c>
      <c r="K84" s="8">
        <f>K76/(K76+K78)</f>
        <v>1</v>
      </c>
    </row>
    <row r="85" spans="1:11" x14ac:dyDescent="0.25">
      <c r="A85" s="4" t="s">
        <v>58</v>
      </c>
      <c r="F85" s="8">
        <f>F77/(F77+F79)</f>
        <v>0.8666666666666667</v>
      </c>
      <c r="H85" s="4" t="s">
        <v>58</v>
      </c>
      <c r="K85" s="8">
        <f>K77/(K77+K79)</f>
        <v>0.84615384615384615</v>
      </c>
    </row>
    <row r="88" spans="1:11" ht="15.75" x14ac:dyDescent="0.25">
      <c r="A88" s="3" t="s">
        <v>61</v>
      </c>
    </row>
    <row r="89" spans="1:11" x14ac:dyDescent="0.25">
      <c r="A89" s="1" t="s">
        <v>62</v>
      </c>
    </row>
    <row r="90" spans="1:11" x14ac:dyDescent="0.25">
      <c r="A90" s="5" t="s">
        <v>63</v>
      </c>
    </row>
    <row r="92" spans="1:11" x14ac:dyDescent="0.25">
      <c r="A92" s="1" t="s">
        <v>64</v>
      </c>
    </row>
    <row r="93" spans="1:11" x14ac:dyDescent="0.25">
      <c r="A93" s="6" t="s">
        <v>65</v>
      </c>
    </row>
    <row r="94" spans="1:11" x14ac:dyDescent="0.25">
      <c r="A94" s="7" t="s">
        <v>66</v>
      </c>
    </row>
    <row r="95" spans="1:11" x14ac:dyDescent="0.25">
      <c r="A95" s="5" t="s">
        <v>67</v>
      </c>
    </row>
    <row r="97" spans="1:1" x14ac:dyDescent="0.25">
      <c r="A97" s="4" t="s">
        <v>68</v>
      </c>
    </row>
    <row r="98" spans="1:1" x14ac:dyDescent="0.25">
      <c r="A98" t="s">
        <v>69</v>
      </c>
    </row>
    <row r="99" spans="1:1" x14ac:dyDescent="0.25">
      <c r="A99" t="s">
        <v>70</v>
      </c>
    </row>
    <row r="100" spans="1:1" x14ac:dyDescent="0.25">
      <c r="A100" t="s">
        <v>71</v>
      </c>
    </row>
    <row r="101" spans="1:1" x14ac:dyDescent="0.25">
      <c r="A101" t="s">
        <v>72</v>
      </c>
    </row>
    <row r="102" spans="1:1" x14ac:dyDescent="0.25">
      <c r="A102" t="s">
        <v>73</v>
      </c>
    </row>
    <row r="103" spans="1:1" x14ac:dyDescent="0.25">
      <c r="A103" t="s">
        <v>74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3"/>
  <sheetViews>
    <sheetView topLeftCell="A19" workbookViewId="0"/>
  </sheetViews>
  <sheetFormatPr baseColWidth="10" defaultColWidth="8.8554687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225</v>
      </c>
      <c r="B2" s="1" t="s">
        <v>226</v>
      </c>
      <c r="C2" t="s">
        <v>20</v>
      </c>
      <c r="D2" s="1" t="s">
        <v>226</v>
      </c>
      <c r="E2" s="5" t="s">
        <v>21</v>
      </c>
      <c r="F2" s="1">
        <v>2</v>
      </c>
      <c r="G2" s="5">
        <v>-1</v>
      </c>
      <c r="H2" s="1" t="s">
        <v>227</v>
      </c>
      <c r="I2" s="1" t="s">
        <v>227</v>
      </c>
      <c r="J2" s="5" t="s">
        <v>21</v>
      </c>
      <c r="K2" s="1">
        <v>2</v>
      </c>
      <c r="L2" s="5">
        <v>-1</v>
      </c>
      <c r="M2" t="s">
        <v>228</v>
      </c>
      <c r="N2" t="s">
        <v>229</v>
      </c>
      <c r="O2" t="s">
        <v>17</v>
      </c>
    </row>
    <row r="3" spans="1:21" x14ac:dyDescent="0.25">
      <c r="A3" t="s">
        <v>225</v>
      </c>
      <c r="B3" s="1" t="s">
        <v>121</v>
      </c>
      <c r="C3" t="s">
        <v>20</v>
      </c>
      <c r="D3" t="s">
        <v>122</v>
      </c>
      <c r="E3" t="s">
        <v>21</v>
      </c>
      <c r="F3">
        <v>0</v>
      </c>
      <c r="G3">
        <v>0</v>
      </c>
      <c r="M3" t="s">
        <v>171</v>
      </c>
      <c r="N3" t="s">
        <v>199</v>
      </c>
      <c r="O3" t="s">
        <v>17</v>
      </c>
      <c r="Q3" t="s">
        <v>108</v>
      </c>
    </row>
    <row r="4" spans="1:21" x14ac:dyDescent="0.25">
      <c r="A4" t="s">
        <v>225</v>
      </c>
      <c r="B4" s="1" t="s">
        <v>125</v>
      </c>
      <c r="C4" t="s">
        <v>20</v>
      </c>
      <c r="D4" s="1" t="s">
        <v>125</v>
      </c>
      <c r="E4" s="5" t="s">
        <v>21</v>
      </c>
      <c r="F4" s="1">
        <v>2</v>
      </c>
      <c r="G4" s="5">
        <v>-1</v>
      </c>
      <c r="H4" s="1" t="s">
        <v>126</v>
      </c>
      <c r="I4" s="1" t="s">
        <v>126</v>
      </c>
      <c r="J4" s="5" t="s">
        <v>21</v>
      </c>
      <c r="K4" s="1">
        <v>2</v>
      </c>
      <c r="L4" s="5">
        <v>-1</v>
      </c>
      <c r="M4" t="s">
        <v>106</v>
      </c>
      <c r="N4" t="s">
        <v>141</v>
      </c>
      <c r="O4" t="s">
        <v>17</v>
      </c>
    </row>
    <row r="5" spans="1:21" x14ac:dyDescent="0.25">
      <c r="A5" t="s">
        <v>225</v>
      </c>
      <c r="B5" s="1" t="s">
        <v>19</v>
      </c>
      <c r="C5" t="s">
        <v>20</v>
      </c>
      <c r="D5" s="1" t="s">
        <v>19</v>
      </c>
      <c r="E5" s="5" t="s">
        <v>21</v>
      </c>
      <c r="F5" s="1">
        <v>2</v>
      </c>
      <c r="G5" s="5">
        <v>-1</v>
      </c>
      <c r="H5" s="1" t="s">
        <v>130</v>
      </c>
      <c r="I5" s="1" t="s">
        <v>130</v>
      </c>
      <c r="J5" s="5" t="s">
        <v>21</v>
      </c>
      <c r="K5" s="1">
        <v>2</v>
      </c>
      <c r="L5" s="5">
        <v>-1</v>
      </c>
      <c r="M5" t="s">
        <v>230</v>
      </c>
      <c r="N5" t="s">
        <v>159</v>
      </c>
      <c r="O5" t="s">
        <v>17</v>
      </c>
    </row>
    <row r="6" spans="1:21" x14ac:dyDescent="0.25">
      <c r="A6" t="s">
        <v>225</v>
      </c>
      <c r="B6" s="1" t="s">
        <v>143</v>
      </c>
      <c r="C6" t="s">
        <v>20</v>
      </c>
      <c r="D6" t="s">
        <v>138</v>
      </c>
      <c r="E6" t="s">
        <v>21</v>
      </c>
      <c r="F6">
        <v>0</v>
      </c>
      <c r="G6">
        <v>0</v>
      </c>
      <c r="M6" t="s">
        <v>77</v>
      </c>
      <c r="N6" t="s">
        <v>117</v>
      </c>
      <c r="O6" t="s">
        <v>17</v>
      </c>
      <c r="Q6" t="s">
        <v>108</v>
      </c>
    </row>
    <row r="7" spans="1:21" x14ac:dyDescent="0.25">
      <c r="A7" t="s">
        <v>225</v>
      </c>
      <c r="B7" s="1" t="s">
        <v>144</v>
      </c>
      <c r="C7" t="s">
        <v>20</v>
      </c>
      <c r="D7" s="1" t="s">
        <v>144</v>
      </c>
      <c r="E7" s="1" t="s">
        <v>144</v>
      </c>
      <c r="F7" s="1">
        <v>2</v>
      </c>
      <c r="G7" s="1">
        <v>2</v>
      </c>
      <c r="H7" s="1" t="s">
        <v>145</v>
      </c>
      <c r="I7" s="1" t="s">
        <v>145</v>
      </c>
      <c r="J7" s="1" t="s">
        <v>145</v>
      </c>
      <c r="K7" s="1">
        <v>2</v>
      </c>
      <c r="L7" s="1">
        <v>2</v>
      </c>
      <c r="M7" t="s">
        <v>231</v>
      </c>
      <c r="N7" t="s">
        <v>232</v>
      </c>
      <c r="O7" t="s">
        <v>233</v>
      </c>
      <c r="P7">
        <v>5.5</v>
      </c>
    </row>
    <row r="8" spans="1:21" x14ac:dyDescent="0.25">
      <c r="H8" s="1" t="s">
        <v>234</v>
      </c>
      <c r="I8" s="1" t="s">
        <v>235</v>
      </c>
      <c r="J8" s="5" t="s">
        <v>21</v>
      </c>
      <c r="K8" s="1">
        <v>2</v>
      </c>
      <c r="L8" s="5">
        <v>-1</v>
      </c>
      <c r="M8" t="s">
        <v>231</v>
      </c>
      <c r="N8" t="s">
        <v>232</v>
      </c>
      <c r="O8" t="s">
        <v>17</v>
      </c>
    </row>
    <row r="9" spans="1:21" x14ac:dyDescent="0.25">
      <c r="A9" t="s">
        <v>225</v>
      </c>
      <c r="B9" s="1" t="s">
        <v>23</v>
      </c>
      <c r="C9" t="s">
        <v>20</v>
      </c>
      <c r="D9" s="1" t="s">
        <v>23</v>
      </c>
      <c r="E9" s="5" t="s">
        <v>21</v>
      </c>
      <c r="F9" s="1">
        <v>2</v>
      </c>
      <c r="G9" s="5">
        <v>-1</v>
      </c>
      <c r="H9" s="1" t="s">
        <v>156</v>
      </c>
      <c r="I9" s="1" t="s">
        <v>236</v>
      </c>
      <c r="J9" s="5" t="s">
        <v>21</v>
      </c>
      <c r="K9" s="1">
        <v>2</v>
      </c>
      <c r="L9" s="5">
        <v>-1</v>
      </c>
      <c r="M9" t="s">
        <v>77</v>
      </c>
      <c r="N9" t="s">
        <v>237</v>
      </c>
      <c r="O9" t="s">
        <v>17</v>
      </c>
    </row>
    <row r="10" spans="1:21" x14ac:dyDescent="0.25">
      <c r="A10" t="s">
        <v>225</v>
      </c>
      <c r="B10" s="1" t="s">
        <v>26</v>
      </c>
      <c r="C10" t="s">
        <v>20</v>
      </c>
      <c r="D10" s="1" t="s">
        <v>26</v>
      </c>
      <c r="E10" s="1" t="s">
        <v>26</v>
      </c>
      <c r="F10" s="1">
        <v>2</v>
      </c>
      <c r="G10" s="1">
        <v>2</v>
      </c>
      <c r="H10" s="1" t="s">
        <v>27</v>
      </c>
      <c r="I10" s="1" t="s">
        <v>27</v>
      </c>
      <c r="J10" s="1" t="s">
        <v>27</v>
      </c>
      <c r="K10" s="1">
        <v>2</v>
      </c>
      <c r="L10" s="1">
        <v>2</v>
      </c>
      <c r="M10" t="s">
        <v>158</v>
      </c>
      <c r="N10" t="s">
        <v>206</v>
      </c>
      <c r="O10" t="s">
        <v>238</v>
      </c>
      <c r="P10">
        <v>16.2</v>
      </c>
    </row>
    <row r="11" spans="1:21" x14ac:dyDescent="0.25">
      <c r="H11" s="1" t="s">
        <v>239</v>
      </c>
      <c r="I11" s="1" t="s">
        <v>239</v>
      </c>
      <c r="J11" s="5" t="s">
        <v>21</v>
      </c>
      <c r="K11" s="1">
        <v>2</v>
      </c>
      <c r="L11" s="5">
        <v>-1</v>
      </c>
      <c r="M11" t="s">
        <v>158</v>
      </c>
      <c r="N11" t="s">
        <v>206</v>
      </c>
      <c r="O11" t="s">
        <v>17</v>
      </c>
    </row>
    <row r="12" spans="1:21" x14ac:dyDescent="0.25">
      <c r="A12" t="s">
        <v>225</v>
      </c>
      <c r="B12" s="1" t="s">
        <v>240</v>
      </c>
      <c r="C12" t="s">
        <v>20</v>
      </c>
      <c r="D12" s="1" t="s">
        <v>240</v>
      </c>
      <c r="E12" s="5" t="s">
        <v>21</v>
      </c>
      <c r="F12" s="1">
        <v>2</v>
      </c>
      <c r="G12" s="5">
        <v>-1</v>
      </c>
      <c r="H12" s="1" t="s">
        <v>241</v>
      </c>
      <c r="I12" s="1" t="s">
        <v>242</v>
      </c>
      <c r="J12" s="5" t="s">
        <v>21</v>
      </c>
      <c r="K12" s="1">
        <v>2</v>
      </c>
      <c r="L12" s="5">
        <v>-1</v>
      </c>
      <c r="M12" t="s">
        <v>243</v>
      </c>
      <c r="N12" t="s">
        <v>244</v>
      </c>
      <c r="O12" t="s">
        <v>17</v>
      </c>
    </row>
    <row r="13" spans="1:21" x14ac:dyDescent="0.25">
      <c r="A13" t="s">
        <v>225</v>
      </c>
      <c r="B13" s="1" t="s">
        <v>245</v>
      </c>
      <c r="C13" t="s">
        <v>20</v>
      </c>
      <c r="D13" t="s">
        <v>30</v>
      </c>
      <c r="E13" t="s">
        <v>21</v>
      </c>
      <c r="F13">
        <v>0</v>
      </c>
      <c r="G13">
        <v>0</v>
      </c>
      <c r="M13" t="s">
        <v>155</v>
      </c>
      <c r="N13" t="s">
        <v>246</v>
      </c>
      <c r="O13" t="s">
        <v>17</v>
      </c>
      <c r="Q13" t="s">
        <v>108</v>
      </c>
    </row>
    <row r="14" spans="1:21" x14ac:dyDescent="0.25">
      <c r="A14" t="s">
        <v>225</v>
      </c>
      <c r="B14" s="1" t="s">
        <v>34</v>
      </c>
      <c r="C14" t="s">
        <v>20</v>
      </c>
      <c r="D14" s="1" t="s">
        <v>34</v>
      </c>
      <c r="E14" s="5" t="s">
        <v>21</v>
      </c>
      <c r="F14" s="1">
        <v>2</v>
      </c>
      <c r="G14" s="5">
        <v>-1</v>
      </c>
      <c r="H14" s="1" t="s">
        <v>35</v>
      </c>
      <c r="I14" s="1" t="s">
        <v>35</v>
      </c>
      <c r="J14" s="5" t="s">
        <v>21</v>
      </c>
      <c r="K14" s="1">
        <v>2</v>
      </c>
      <c r="L14" s="5">
        <v>-1</v>
      </c>
      <c r="M14" t="s">
        <v>127</v>
      </c>
      <c r="N14" t="s">
        <v>248</v>
      </c>
      <c r="O14" t="s">
        <v>17</v>
      </c>
    </row>
    <row r="15" spans="1:21" x14ac:dyDescent="0.25">
      <c r="A15" t="s">
        <v>225</v>
      </c>
      <c r="B15" s="1" t="s">
        <v>39</v>
      </c>
      <c r="C15" t="s">
        <v>20</v>
      </c>
      <c r="D15" s="1" t="s">
        <v>39</v>
      </c>
      <c r="E15" s="5" t="s">
        <v>21</v>
      </c>
      <c r="F15" s="1">
        <v>2</v>
      </c>
      <c r="G15" s="5">
        <v>-1</v>
      </c>
      <c r="H15" s="1" t="s">
        <v>178</v>
      </c>
      <c r="I15" s="1" t="s">
        <v>178</v>
      </c>
      <c r="J15" s="5" t="s">
        <v>21</v>
      </c>
      <c r="K15" s="1">
        <v>2</v>
      </c>
      <c r="L15" s="5">
        <v>-1</v>
      </c>
      <c r="M15" t="s">
        <v>179</v>
      </c>
      <c r="N15" t="s">
        <v>132</v>
      </c>
      <c r="O15" t="s">
        <v>17</v>
      </c>
    </row>
    <row r="16" spans="1:21" x14ac:dyDescent="0.25">
      <c r="B16" s="1"/>
      <c r="D16" s="1"/>
      <c r="E16" s="5"/>
      <c r="F16" s="1"/>
      <c r="G16" s="5"/>
      <c r="H16" s="1" t="s">
        <v>277</v>
      </c>
      <c r="I16" s="5" t="s">
        <v>21</v>
      </c>
      <c r="J16" s="5" t="s">
        <v>21</v>
      </c>
      <c r="K16" s="5">
        <v>-1</v>
      </c>
      <c r="L16" s="5">
        <v>-1</v>
      </c>
      <c r="M16" t="s">
        <v>179</v>
      </c>
      <c r="N16" t="s">
        <v>17</v>
      </c>
      <c r="Q16" t="s">
        <v>278</v>
      </c>
    </row>
    <row r="17" spans="1:17" x14ac:dyDescent="0.25">
      <c r="A17" t="s">
        <v>225</v>
      </c>
      <c r="B17" s="1" t="s">
        <v>182</v>
      </c>
      <c r="C17" t="s">
        <v>20</v>
      </c>
      <c r="D17" s="1" t="s">
        <v>182</v>
      </c>
      <c r="E17" s="1" t="s">
        <v>182</v>
      </c>
      <c r="F17" s="1">
        <v>2</v>
      </c>
      <c r="G17" s="1">
        <v>2</v>
      </c>
      <c r="H17" s="1" t="s">
        <v>183</v>
      </c>
      <c r="I17" s="1" t="s">
        <v>183</v>
      </c>
      <c r="J17" s="1" t="s">
        <v>184</v>
      </c>
      <c r="K17" s="1">
        <v>2</v>
      </c>
      <c r="L17" s="1">
        <v>2</v>
      </c>
      <c r="M17" t="s">
        <v>95</v>
      </c>
      <c r="N17" t="s">
        <v>249</v>
      </c>
      <c r="O17" t="s">
        <v>250</v>
      </c>
      <c r="P17">
        <v>42.9</v>
      </c>
    </row>
    <row r="18" spans="1:17" x14ac:dyDescent="0.25">
      <c r="H18" s="1" t="s">
        <v>188</v>
      </c>
      <c r="I18" s="1" t="s">
        <v>251</v>
      </c>
      <c r="J18" s="1" t="s">
        <v>188</v>
      </c>
      <c r="K18" s="1">
        <v>2</v>
      </c>
      <c r="L18" s="1">
        <v>2</v>
      </c>
      <c r="M18" t="s">
        <v>95</v>
      </c>
      <c r="N18" t="s">
        <v>249</v>
      </c>
      <c r="O18" t="s">
        <v>252</v>
      </c>
      <c r="P18">
        <v>2.8</v>
      </c>
    </row>
    <row r="19" spans="1:17" x14ac:dyDescent="0.25">
      <c r="A19" t="s">
        <v>225</v>
      </c>
      <c r="B19" s="1" t="s">
        <v>253</v>
      </c>
      <c r="C19" t="s">
        <v>20</v>
      </c>
      <c r="D19" s="1" t="s">
        <v>253</v>
      </c>
      <c r="E19" s="5" t="s">
        <v>21</v>
      </c>
      <c r="F19" s="1">
        <v>2</v>
      </c>
      <c r="G19" s="5">
        <v>-1</v>
      </c>
      <c r="H19" s="1" t="s">
        <v>254</v>
      </c>
      <c r="I19" s="1" t="s">
        <v>254</v>
      </c>
      <c r="J19" s="5" t="s">
        <v>21</v>
      </c>
      <c r="K19" s="1">
        <v>2</v>
      </c>
      <c r="L19" s="5">
        <v>-1</v>
      </c>
      <c r="M19" t="s">
        <v>255</v>
      </c>
      <c r="N19" t="s">
        <v>256</v>
      </c>
      <c r="O19" t="s">
        <v>17</v>
      </c>
    </row>
    <row r="20" spans="1:17" x14ac:dyDescent="0.25">
      <c r="H20" s="5" t="s">
        <v>257</v>
      </c>
      <c r="I20" s="5" t="s">
        <v>258</v>
      </c>
      <c r="J20" t="s">
        <v>17</v>
      </c>
      <c r="K20" s="5">
        <v>-2</v>
      </c>
      <c r="L20">
        <v>0</v>
      </c>
      <c r="M20" t="s">
        <v>17</v>
      </c>
      <c r="N20" t="s">
        <v>256</v>
      </c>
      <c r="O20" t="s">
        <v>17</v>
      </c>
      <c r="Q20" t="s">
        <v>288</v>
      </c>
    </row>
    <row r="21" spans="1:17" x14ac:dyDescent="0.25">
      <c r="A21" t="s">
        <v>225</v>
      </c>
      <c r="B21" s="1" t="s">
        <v>259</v>
      </c>
      <c r="C21" t="s">
        <v>20</v>
      </c>
      <c r="D21" t="s">
        <v>260</v>
      </c>
      <c r="E21" t="s">
        <v>21</v>
      </c>
      <c r="F21">
        <v>0</v>
      </c>
      <c r="G21">
        <v>0</v>
      </c>
      <c r="M21" t="s">
        <v>80</v>
      </c>
      <c r="N21" t="s">
        <v>247</v>
      </c>
      <c r="O21" t="s">
        <v>17</v>
      </c>
      <c r="Q21" t="s">
        <v>108</v>
      </c>
    </row>
    <row r="22" spans="1:17" x14ac:dyDescent="0.25">
      <c r="A22" t="s">
        <v>225</v>
      </c>
      <c r="B22" s="1" t="s">
        <v>191</v>
      </c>
      <c r="C22" t="s">
        <v>20</v>
      </c>
      <c r="D22" t="s">
        <v>192</v>
      </c>
      <c r="E22" t="s">
        <v>21</v>
      </c>
      <c r="F22">
        <v>0</v>
      </c>
      <c r="G22">
        <v>0</v>
      </c>
      <c r="M22" t="s">
        <v>179</v>
      </c>
      <c r="N22" t="s">
        <v>193</v>
      </c>
      <c r="O22" t="s">
        <v>17</v>
      </c>
      <c r="Q22" t="s">
        <v>108</v>
      </c>
    </row>
    <row r="23" spans="1:17" x14ac:dyDescent="0.25">
      <c r="A23" t="s">
        <v>225</v>
      </c>
      <c r="B23" s="1" t="s">
        <v>197</v>
      </c>
      <c r="C23" t="s">
        <v>20</v>
      </c>
      <c r="D23" t="s">
        <v>198</v>
      </c>
      <c r="E23" t="s">
        <v>21</v>
      </c>
      <c r="F23">
        <v>0</v>
      </c>
      <c r="G23">
        <v>0</v>
      </c>
      <c r="M23" t="s">
        <v>113</v>
      </c>
      <c r="N23" t="s">
        <v>114</v>
      </c>
      <c r="O23" t="s">
        <v>17</v>
      </c>
      <c r="Q23" t="s">
        <v>108</v>
      </c>
    </row>
    <row r="24" spans="1:17" x14ac:dyDescent="0.25">
      <c r="A24" t="s">
        <v>225</v>
      </c>
      <c r="B24" s="1" t="s">
        <v>41</v>
      </c>
      <c r="C24" t="s">
        <v>20</v>
      </c>
      <c r="D24" s="1" t="s">
        <v>41</v>
      </c>
      <c r="E24" s="6" t="s">
        <v>41</v>
      </c>
      <c r="F24" s="1">
        <v>2</v>
      </c>
      <c r="G24" s="6">
        <v>1</v>
      </c>
      <c r="H24" s="1" t="s">
        <v>261</v>
      </c>
      <c r="I24" s="1" t="s">
        <v>42</v>
      </c>
      <c r="J24" s="6" t="s">
        <v>98</v>
      </c>
      <c r="K24" s="1">
        <v>2</v>
      </c>
      <c r="L24" s="6">
        <v>1</v>
      </c>
      <c r="M24" t="s">
        <v>262</v>
      </c>
      <c r="N24" t="s">
        <v>167</v>
      </c>
      <c r="O24" t="s">
        <v>263</v>
      </c>
      <c r="P24">
        <v>49.4</v>
      </c>
      <c r="Q24" t="s">
        <v>289</v>
      </c>
    </row>
    <row r="25" spans="1:17" x14ac:dyDescent="0.25">
      <c r="A25" t="s">
        <v>225</v>
      </c>
      <c r="B25" s="1" t="s">
        <v>203</v>
      </c>
      <c r="C25" t="s">
        <v>20</v>
      </c>
      <c r="D25" s="1" t="s">
        <v>203</v>
      </c>
      <c r="E25" s="1" t="s">
        <v>203</v>
      </c>
      <c r="F25" s="1">
        <v>2</v>
      </c>
      <c r="G25" s="1">
        <v>2</v>
      </c>
      <c r="H25" s="1" t="s">
        <v>204</v>
      </c>
      <c r="I25" s="1" t="s">
        <v>204</v>
      </c>
      <c r="J25" s="1" t="s">
        <v>204</v>
      </c>
      <c r="K25" s="1">
        <v>2</v>
      </c>
      <c r="L25" s="1">
        <v>2</v>
      </c>
      <c r="M25" t="s">
        <v>158</v>
      </c>
      <c r="N25" t="s">
        <v>264</v>
      </c>
      <c r="O25" t="s">
        <v>265</v>
      </c>
      <c r="P25">
        <v>5.5</v>
      </c>
    </row>
    <row r="26" spans="1:17" x14ac:dyDescent="0.25">
      <c r="A26" t="s">
        <v>225</v>
      </c>
      <c r="B26" s="1" t="s">
        <v>211</v>
      </c>
      <c r="C26" t="s">
        <v>20</v>
      </c>
      <c r="D26" s="5" t="s">
        <v>21</v>
      </c>
      <c r="E26" s="5" t="s">
        <v>21</v>
      </c>
      <c r="F26" s="5">
        <v>-1</v>
      </c>
      <c r="G26" s="5">
        <v>-1</v>
      </c>
      <c r="H26" s="1" t="s">
        <v>290</v>
      </c>
      <c r="I26" s="5" t="s">
        <v>21</v>
      </c>
      <c r="J26" s="5" t="s">
        <v>21</v>
      </c>
      <c r="K26" s="5">
        <v>-1</v>
      </c>
      <c r="L26" s="5">
        <v>-1</v>
      </c>
      <c r="M26" t="s">
        <v>291</v>
      </c>
      <c r="N26" t="s">
        <v>17</v>
      </c>
      <c r="Q26" t="s">
        <v>292</v>
      </c>
    </row>
    <row r="27" spans="1:17" x14ac:dyDescent="0.25">
      <c r="A27" t="s">
        <v>225</v>
      </c>
      <c r="B27" s="1" t="s">
        <v>266</v>
      </c>
      <c r="C27" t="s">
        <v>20</v>
      </c>
      <c r="D27" t="s">
        <v>267</v>
      </c>
      <c r="E27" t="s">
        <v>21</v>
      </c>
      <c r="F27">
        <v>0</v>
      </c>
      <c r="G27">
        <v>0</v>
      </c>
      <c r="M27" t="s">
        <v>24</v>
      </c>
      <c r="N27" t="s">
        <v>25</v>
      </c>
      <c r="O27" t="s">
        <v>17</v>
      </c>
      <c r="Q27" t="s">
        <v>108</v>
      </c>
    </row>
    <row r="30" spans="1:17" ht="15.75" x14ac:dyDescent="0.25">
      <c r="A30" s="3" t="s">
        <v>45</v>
      </c>
      <c r="H30" s="3" t="s">
        <v>46</v>
      </c>
    </row>
    <row r="31" spans="1:17" x14ac:dyDescent="0.25">
      <c r="A31" s="4" t="s">
        <v>47</v>
      </c>
      <c r="F31">
        <f>COUNTIFS(B2:B27,"&lt;&gt;*_*",B2:B27,"&lt;&gt;")</f>
        <v>14</v>
      </c>
      <c r="H31" s="4" t="s">
        <v>47</v>
      </c>
      <c r="K31">
        <f>COUNTIFS(B2:B27,"&lt;&gt;*_*",B2:B27,"&lt;&gt;",R2:R27,"&lt;&gt;TRUE")</f>
        <v>14</v>
      </c>
    </row>
    <row r="32" spans="1:17" x14ac:dyDescent="0.25">
      <c r="A32" s="4" t="s">
        <v>48</v>
      </c>
      <c r="F32">
        <f>COUNTIFS(F2:F27,"&gt;0")</f>
        <v>13</v>
      </c>
      <c r="H32" s="4" t="s">
        <v>48</v>
      </c>
      <c r="K32">
        <f>COUNTIFS(F2:F27,"&gt;0",R2:R27,"&lt;&gt;TRUE")</f>
        <v>13</v>
      </c>
    </row>
    <row r="33" spans="1:11" x14ac:dyDescent="0.25">
      <c r="A33" s="4" t="s">
        <v>49</v>
      </c>
      <c r="F33">
        <f>COUNTIFS(G2:G27,"&gt;0")</f>
        <v>5</v>
      </c>
      <c r="H33" s="4" t="s">
        <v>49</v>
      </c>
      <c r="K33">
        <f>COUNTIFS(G2:G27,"&gt;0",S2:S27,"&lt;&gt;TRUE")</f>
        <v>5</v>
      </c>
    </row>
    <row r="34" spans="1:11" x14ac:dyDescent="0.25">
      <c r="A34" s="4" t="s">
        <v>50</v>
      </c>
      <c r="F34">
        <f>COUNTIFS(F2:F27,"&lt;&gt;-1",F2:F27,"&lt;&gt;0",F2:F27,"&lt;2")</f>
        <v>0</v>
      </c>
      <c r="H34" s="4" t="s">
        <v>50</v>
      </c>
      <c r="K34">
        <f>COUNTIFS(F2:F27,"&lt;&gt;-1",F2:F27,"&lt;&gt;0",F2:F27,"&lt;2",R2:R27,"&lt;&gt;TRUE")</f>
        <v>0</v>
      </c>
    </row>
    <row r="35" spans="1:11" x14ac:dyDescent="0.25">
      <c r="A35" s="4" t="s">
        <v>51</v>
      </c>
      <c r="F35">
        <f>COUNTIFS(G2:G27,"&lt;&gt;-1",G2:G27,"&lt;&gt;0",G2:G27,"&lt;2")</f>
        <v>1</v>
      </c>
      <c r="H35" s="4" t="s">
        <v>51</v>
      </c>
      <c r="K35">
        <f>COUNTIFS(G2:G27,"&lt;&gt;-1",G2:G27,"&lt;&gt;0",G2:G27,"&lt;2",S2:S27,"&lt;&gt;TRUE")</f>
        <v>1</v>
      </c>
    </row>
    <row r="36" spans="1:11" x14ac:dyDescent="0.25">
      <c r="A36" s="4" t="s">
        <v>52</v>
      </c>
      <c r="F36">
        <f>COUNTIFS(F2:F27,"=-1")+COUNTIFS(F2:F27,"=-3")</f>
        <v>1</v>
      </c>
      <c r="H36" s="4" t="s">
        <v>52</v>
      </c>
      <c r="K36">
        <f>COUNTIFS(F2:F27,"=-1",R2:R27,"&lt;&gt;TRUE")+COUNTIFS(F2:F27,"=-3",R2:R27,"&lt;&gt;TRUE")</f>
        <v>1</v>
      </c>
    </row>
    <row r="37" spans="1:11" x14ac:dyDescent="0.25">
      <c r="A37" s="4" t="s">
        <v>53</v>
      </c>
      <c r="F37">
        <f>COUNTIFS(G2:G27,"=-1")+COUNTIFS(G2:G27,"=-3")</f>
        <v>9</v>
      </c>
      <c r="H37" s="4" t="s">
        <v>53</v>
      </c>
      <c r="K37">
        <f>COUNTIFS(G2:G27,"=-1",S2:S27,"&lt;&gt;TRUE")+COUNTIFS(G2:G27,"=-3",S2:S27,"&lt;&gt;TRUE")</f>
        <v>9</v>
      </c>
    </row>
    <row r="38" spans="1:11" x14ac:dyDescent="0.25">
      <c r="A38" s="4" t="s">
        <v>54</v>
      </c>
      <c r="F38" s="8">
        <f>F32/F31</f>
        <v>0.9285714285714286</v>
      </c>
      <c r="H38" s="4" t="s">
        <v>54</v>
      </c>
      <c r="K38" s="8">
        <f>K32/K31</f>
        <v>0.9285714285714286</v>
      </c>
    </row>
    <row r="39" spans="1:11" x14ac:dyDescent="0.25">
      <c r="A39" s="4" t="s">
        <v>55</v>
      </c>
      <c r="F39" s="8">
        <f>F33/F31</f>
        <v>0.35714285714285715</v>
      </c>
      <c r="H39" s="4" t="s">
        <v>56</v>
      </c>
      <c r="K39" s="8">
        <f>K33/K31</f>
        <v>0.35714285714285715</v>
      </c>
    </row>
    <row r="40" spans="1:11" x14ac:dyDescent="0.25">
      <c r="A40" s="4" t="s">
        <v>57</v>
      </c>
      <c r="F40" s="8">
        <f>F32/(F32+F34)</f>
        <v>1</v>
      </c>
      <c r="H40" s="4" t="s">
        <v>57</v>
      </c>
      <c r="K40" s="8">
        <f>K32/(K32+K34)</f>
        <v>1</v>
      </c>
    </row>
    <row r="41" spans="1:11" x14ac:dyDescent="0.25">
      <c r="A41" s="4" t="s">
        <v>58</v>
      </c>
      <c r="F41" s="8">
        <f>F33/(F33+F35)</f>
        <v>0.83333333333333337</v>
      </c>
      <c r="H41" s="4" t="s">
        <v>58</v>
      </c>
      <c r="K41" s="8">
        <f>K33/(K33+K35)</f>
        <v>0.83333333333333337</v>
      </c>
    </row>
    <row r="44" spans="1:11" ht="15.75" x14ac:dyDescent="0.25">
      <c r="A44" s="3" t="s">
        <v>59</v>
      </c>
      <c r="H44" s="3" t="s">
        <v>60</v>
      </c>
    </row>
    <row r="45" spans="1:11" x14ac:dyDescent="0.25">
      <c r="A45" s="4" t="s">
        <v>47</v>
      </c>
      <c r="F45">
        <f>COUNTIFS(H2:H27,"&lt;&gt;*_FP",H2:H27,"&lt;&gt;",H2:H27,"&lt;&gt;no structure")</f>
        <v>18</v>
      </c>
      <c r="H45" s="4" t="s">
        <v>47</v>
      </c>
      <c r="K45">
        <f>COUNTIFS(H2:H27,"&lt;&gt;*_FP",H2:H27,"&lt;&gt;",H2:H27,"&lt;&gt;no structure",T2:T27,"&lt;&gt;TRUE")</f>
        <v>18</v>
      </c>
    </row>
    <row r="46" spans="1:11" x14ac:dyDescent="0.25">
      <c r="A46" s="4" t="s">
        <v>48</v>
      </c>
      <c r="F46">
        <f>COUNTIFS(K2:K27,"&gt;0")</f>
        <v>16</v>
      </c>
      <c r="H46" s="4" t="s">
        <v>48</v>
      </c>
      <c r="K46">
        <f>COUNTIFS(K2:K27,"&gt;0",T2:T27,"&lt;&gt;TRUE")</f>
        <v>16</v>
      </c>
    </row>
    <row r="47" spans="1:11" x14ac:dyDescent="0.25">
      <c r="A47" s="4" t="s">
        <v>49</v>
      </c>
      <c r="F47">
        <f>COUNTIFS(L2:L27,"&gt;0")</f>
        <v>6</v>
      </c>
      <c r="H47" s="4" t="s">
        <v>49</v>
      </c>
      <c r="K47">
        <f>COUNTIFS(L2:L27,"&gt;0",U2:U27,"&lt;&gt;TRUE")</f>
        <v>6</v>
      </c>
    </row>
    <row r="48" spans="1:11" x14ac:dyDescent="0.25">
      <c r="A48" s="4" t="s">
        <v>50</v>
      </c>
      <c r="F48">
        <f>COUNTIFS(K2:K27,"&lt;&gt;-1",K2:K27,"&lt;&gt;0",K2:K27,"&lt;2")</f>
        <v>1</v>
      </c>
      <c r="H48" s="4" t="s">
        <v>50</v>
      </c>
      <c r="K48">
        <f>COUNTIFS(K2:K27,"&lt;&gt;-1",K2:K27,"&lt;&gt;0",K2:K27,"&lt;2",T2:T27,"&lt;&gt;TRUE")</f>
        <v>1</v>
      </c>
    </row>
    <row r="49" spans="1:11" x14ac:dyDescent="0.25">
      <c r="A49" s="4" t="s">
        <v>51</v>
      </c>
      <c r="F49">
        <f>COUNTIFS(L2:L27,"&lt;&gt;-1",L2:L27,"&lt;&gt;0",L2:L27,"&lt;2")</f>
        <v>1</v>
      </c>
      <c r="H49" s="4" t="s">
        <v>51</v>
      </c>
      <c r="K49">
        <f>COUNTIFS(L2:L27,"&lt;&gt;-1",L2:L27,"&lt;&gt;0",L2:L27,"&lt;2",U2:U27,"&lt;&gt;TRUE")</f>
        <v>1</v>
      </c>
    </row>
    <row r="50" spans="1:11" x14ac:dyDescent="0.25">
      <c r="A50" s="4" t="s">
        <v>52</v>
      </c>
      <c r="F50">
        <f>COUNTIFS(K2:K27,"=-1")+COUNTIFS(K2:K27,"=-3")</f>
        <v>2</v>
      </c>
      <c r="H50" s="4" t="s">
        <v>52</v>
      </c>
      <c r="K50">
        <f>COUNTIFS(K2:K27,"=-1",T2:T27,"&lt;&gt;TRUE")+COUNTIFS(K2:K27,"=-3",T2:T27,"&lt;&gt;TRUE")</f>
        <v>2</v>
      </c>
    </row>
    <row r="51" spans="1:11" x14ac:dyDescent="0.25">
      <c r="A51" s="4" t="s">
        <v>53</v>
      </c>
      <c r="F51">
        <f>COUNTIFS(L2:L27,"=-1")+COUNTIFS(L2:L27,"=-3")</f>
        <v>12</v>
      </c>
      <c r="H51" s="4" t="s">
        <v>53</v>
      </c>
      <c r="K51">
        <f>COUNTIFS(L2:L27,"=-1",U2:U27,"&lt;&gt;TRUE")+COUNTIFS(L2:L27,"=-3",U2:U27,"&lt;&gt;TRUE")</f>
        <v>12</v>
      </c>
    </row>
    <row r="52" spans="1:11" x14ac:dyDescent="0.25">
      <c r="A52" s="4" t="s">
        <v>54</v>
      </c>
      <c r="F52" s="8">
        <f>F46/F45</f>
        <v>0.88888888888888884</v>
      </c>
      <c r="H52" s="4" t="s">
        <v>54</v>
      </c>
      <c r="K52" s="8">
        <f>K46/K45</f>
        <v>0.88888888888888884</v>
      </c>
    </row>
    <row r="53" spans="1:11" x14ac:dyDescent="0.25">
      <c r="A53" s="4" t="s">
        <v>55</v>
      </c>
      <c r="F53" s="8">
        <f>F47/F45</f>
        <v>0.33333333333333331</v>
      </c>
      <c r="H53" s="4" t="s">
        <v>56</v>
      </c>
      <c r="K53" s="8">
        <f>K47/K45</f>
        <v>0.33333333333333331</v>
      </c>
    </row>
    <row r="54" spans="1:11" x14ac:dyDescent="0.25">
      <c r="A54" s="4" t="s">
        <v>57</v>
      </c>
      <c r="F54" s="8">
        <f>F46/(F46+F48)</f>
        <v>0.94117647058823528</v>
      </c>
      <c r="H54" s="4" t="s">
        <v>57</v>
      </c>
      <c r="K54" s="8">
        <f>K46/(K46+K48)</f>
        <v>0.94117647058823528</v>
      </c>
    </row>
    <row r="55" spans="1:11" x14ac:dyDescent="0.25">
      <c r="A55" s="4" t="s">
        <v>58</v>
      </c>
      <c r="F55" s="8">
        <f>F47/(F47+F49)</f>
        <v>0.8571428571428571</v>
      </c>
      <c r="H55" s="4" t="s">
        <v>58</v>
      </c>
      <c r="K55" s="8">
        <f>K47/(K47+K49)</f>
        <v>0.8571428571428571</v>
      </c>
    </row>
    <row r="58" spans="1:11" ht="15.75" x14ac:dyDescent="0.25">
      <c r="A58" s="3" t="s">
        <v>61</v>
      </c>
    </row>
    <row r="59" spans="1:11" x14ac:dyDescent="0.25">
      <c r="A59" s="1" t="s">
        <v>62</v>
      </c>
    </row>
    <row r="60" spans="1:11" x14ac:dyDescent="0.25">
      <c r="A60" s="5" t="s">
        <v>63</v>
      </c>
    </row>
    <row r="62" spans="1:11" x14ac:dyDescent="0.25">
      <c r="A62" s="1" t="s">
        <v>64</v>
      </c>
    </row>
    <row r="63" spans="1:11" x14ac:dyDescent="0.25">
      <c r="A63" s="6" t="s">
        <v>65</v>
      </c>
    </row>
    <row r="64" spans="1:11" x14ac:dyDescent="0.25">
      <c r="A64" s="7" t="s">
        <v>66</v>
      </c>
    </row>
    <row r="65" spans="1:1" x14ac:dyDescent="0.25">
      <c r="A65" s="5" t="s">
        <v>67</v>
      </c>
    </row>
    <row r="67" spans="1:1" x14ac:dyDescent="0.25">
      <c r="A67" s="4" t="s">
        <v>68</v>
      </c>
    </row>
    <row r="68" spans="1:1" x14ac:dyDescent="0.25">
      <c r="A68" t="s">
        <v>69</v>
      </c>
    </row>
    <row r="69" spans="1:1" x14ac:dyDescent="0.25">
      <c r="A69" t="s">
        <v>70</v>
      </c>
    </row>
    <row r="70" spans="1:1" x14ac:dyDescent="0.25">
      <c r="A70" t="s">
        <v>71</v>
      </c>
    </row>
    <row r="71" spans="1:1" x14ac:dyDescent="0.25">
      <c r="A71" t="s">
        <v>72</v>
      </c>
    </row>
    <row r="72" spans="1:1" x14ac:dyDescent="0.25">
      <c r="A72" t="s">
        <v>73</v>
      </c>
    </row>
    <row r="73" spans="1:1" x14ac:dyDescent="0.25">
      <c r="A73" t="s">
        <v>74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0"/>
  <sheetViews>
    <sheetView workbookViewId="0"/>
  </sheetViews>
  <sheetFormatPr baseColWidth="10" defaultColWidth="8.8554687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268</v>
      </c>
      <c r="B2" s="1" t="s">
        <v>19</v>
      </c>
      <c r="C2" t="s">
        <v>20</v>
      </c>
      <c r="D2" s="1" t="s">
        <v>19</v>
      </c>
      <c r="E2" s="5" t="s">
        <v>21</v>
      </c>
      <c r="F2" s="1">
        <v>2</v>
      </c>
      <c r="G2" s="5">
        <v>-1</v>
      </c>
      <c r="H2" s="1" t="s">
        <v>130</v>
      </c>
      <c r="I2" s="1" t="s">
        <v>130</v>
      </c>
      <c r="J2" s="5" t="s">
        <v>21</v>
      </c>
      <c r="K2" s="1">
        <v>2</v>
      </c>
      <c r="L2" s="5">
        <v>-1</v>
      </c>
      <c r="M2" t="s">
        <v>269</v>
      </c>
      <c r="N2" t="s">
        <v>270</v>
      </c>
      <c r="O2" t="s">
        <v>17</v>
      </c>
      <c r="Q2" t="s">
        <v>293</v>
      </c>
    </row>
    <row r="3" spans="1:21" x14ac:dyDescent="0.25">
      <c r="A3" t="s">
        <v>268</v>
      </c>
      <c r="B3" s="11" t="s">
        <v>23</v>
      </c>
      <c r="C3" t="s">
        <v>20</v>
      </c>
      <c r="D3" s="5" t="s">
        <v>21</v>
      </c>
      <c r="E3" s="5" t="s">
        <v>21</v>
      </c>
      <c r="F3" s="5">
        <v>-1</v>
      </c>
      <c r="G3" s="5">
        <v>-1</v>
      </c>
      <c r="H3" s="1" t="s">
        <v>156</v>
      </c>
      <c r="I3" s="5" t="s">
        <v>21</v>
      </c>
      <c r="J3" s="5" t="s">
        <v>21</v>
      </c>
      <c r="K3" s="5">
        <v>-1</v>
      </c>
      <c r="L3" s="5">
        <v>-1</v>
      </c>
      <c r="M3" t="s">
        <v>17</v>
      </c>
      <c r="N3" t="s">
        <v>17</v>
      </c>
      <c r="Q3" t="s">
        <v>294</v>
      </c>
    </row>
    <row r="4" spans="1:21" x14ac:dyDescent="0.25">
      <c r="A4" t="s">
        <v>268</v>
      </c>
      <c r="B4" s="5" t="s">
        <v>271</v>
      </c>
      <c r="C4" t="s">
        <v>20</v>
      </c>
      <c r="D4" s="5" t="s">
        <v>34</v>
      </c>
      <c r="E4" t="s">
        <v>21</v>
      </c>
      <c r="F4" s="5">
        <v>-2</v>
      </c>
      <c r="G4">
        <v>0</v>
      </c>
      <c r="M4" t="s">
        <v>17</v>
      </c>
      <c r="N4" t="s">
        <v>17</v>
      </c>
      <c r="O4" t="s">
        <v>17</v>
      </c>
    </row>
    <row r="7" spans="1:21" ht="15.75" x14ac:dyDescent="0.25">
      <c r="A7" s="3" t="s">
        <v>45</v>
      </c>
      <c r="H7" s="3" t="s">
        <v>46</v>
      </c>
    </row>
    <row r="8" spans="1:21" x14ac:dyDescent="0.25">
      <c r="A8" s="4" t="s">
        <v>47</v>
      </c>
      <c r="F8">
        <f>COUNTIFS(B2:B4,"&lt;&gt;*_*",B2:B4,"&lt;&gt;")</f>
        <v>2</v>
      </c>
      <c r="H8" s="4" t="s">
        <v>47</v>
      </c>
      <c r="K8">
        <f>COUNTIFS(B2:B4,"&lt;&gt;*_*",B2:B4,"&lt;&gt;",R2:R4,"&lt;&gt;TRUE")</f>
        <v>2</v>
      </c>
    </row>
    <row r="9" spans="1:21" x14ac:dyDescent="0.25">
      <c r="A9" s="4" t="s">
        <v>48</v>
      </c>
      <c r="F9">
        <f>COUNTIFS(F2:F4,"&gt;0")</f>
        <v>1</v>
      </c>
      <c r="H9" s="4" t="s">
        <v>48</v>
      </c>
      <c r="K9">
        <f>COUNTIFS(F2:F4,"&gt;0",R2:R4,"&lt;&gt;TRUE")</f>
        <v>1</v>
      </c>
    </row>
    <row r="10" spans="1:21" x14ac:dyDescent="0.25">
      <c r="A10" s="4" t="s">
        <v>49</v>
      </c>
      <c r="F10">
        <f>COUNTIFS(G2:G4,"&gt;0")</f>
        <v>0</v>
      </c>
      <c r="H10" s="4" t="s">
        <v>49</v>
      </c>
      <c r="K10">
        <f>COUNTIFS(G2:G4,"&gt;0",S2:S4,"&lt;&gt;TRUE")</f>
        <v>0</v>
      </c>
    </row>
    <row r="11" spans="1:21" x14ac:dyDescent="0.25">
      <c r="A11" s="4" t="s">
        <v>50</v>
      </c>
      <c r="F11">
        <f>COUNTIFS(F2:F4,"&lt;&gt;-1",F2:F4,"&lt;&gt;0",F2:F4,"&lt;2")</f>
        <v>1</v>
      </c>
      <c r="H11" s="4" t="s">
        <v>50</v>
      </c>
      <c r="K11">
        <f>COUNTIFS(F2:F4,"&lt;&gt;-1",F2:F4,"&lt;&gt;0",F2:F4,"&lt;2",R2:R4,"&lt;&gt;TRUE")</f>
        <v>1</v>
      </c>
    </row>
    <row r="12" spans="1:21" x14ac:dyDescent="0.25">
      <c r="A12" s="4" t="s">
        <v>51</v>
      </c>
      <c r="F12">
        <f>COUNTIFS(G2:G4,"&lt;&gt;-1",G2:G4,"&lt;&gt;0",G2:G4,"&lt;2")</f>
        <v>0</v>
      </c>
      <c r="H12" s="4" t="s">
        <v>51</v>
      </c>
      <c r="K12">
        <f>COUNTIFS(G2:G4,"&lt;&gt;-1",G2:G4,"&lt;&gt;0",G2:G4,"&lt;2",S2:S4,"&lt;&gt;TRUE")</f>
        <v>0</v>
      </c>
    </row>
    <row r="13" spans="1:21" x14ac:dyDescent="0.25">
      <c r="A13" s="4" t="s">
        <v>52</v>
      </c>
      <c r="F13">
        <f>COUNTIFS(F2:F4,"=-1")+COUNTIFS(F2:F4,"=-3")</f>
        <v>1</v>
      </c>
      <c r="H13" s="4" t="s">
        <v>52</v>
      </c>
      <c r="K13">
        <f>COUNTIFS(F2:F4,"=-1",R2:R4,"&lt;&gt;TRUE")+COUNTIFS(F2:F4,"=-3",R2:R4,"&lt;&gt;TRUE")</f>
        <v>1</v>
      </c>
    </row>
    <row r="14" spans="1:21" x14ac:dyDescent="0.25">
      <c r="A14" s="4" t="s">
        <v>53</v>
      </c>
      <c r="F14">
        <f>COUNTIFS(G2:G4,"=-1")+COUNTIFS(G2:G4,"=-3")</f>
        <v>2</v>
      </c>
      <c r="H14" s="4" t="s">
        <v>53</v>
      </c>
      <c r="K14">
        <f>COUNTIFS(G2:G4,"=-1",S2:S4,"&lt;&gt;TRUE")+COUNTIFS(G2:G4,"=-3",S2:S4,"&lt;&gt;TRUE")</f>
        <v>2</v>
      </c>
    </row>
    <row r="15" spans="1:21" x14ac:dyDescent="0.25">
      <c r="A15" s="4" t="s">
        <v>54</v>
      </c>
      <c r="F15" s="8">
        <f>F9/F8</f>
        <v>0.5</v>
      </c>
      <c r="H15" s="4" t="s">
        <v>54</v>
      </c>
      <c r="K15" s="8">
        <f>K9/K8</f>
        <v>0.5</v>
      </c>
    </row>
    <row r="16" spans="1:21" x14ac:dyDescent="0.25">
      <c r="A16" s="4" t="s">
        <v>55</v>
      </c>
      <c r="F16" s="8">
        <f>F10/F8</f>
        <v>0</v>
      </c>
      <c r="H16" s="4" t="s">
        <v>56</v>
      </c>
      <c r="K16" s="8">
        <f>K10/K8</f>
        <v>0</v>
      </c>
    </row>
    <row r="17" spans="1:11" x14ac:dyDescent="0.25">
      <c r="A17" s="4" t="s">
        <v>57</v>
      </c>
      <c r="F17" s="8">
        <f>F9/(F9+F11)</f>
        <v>0.5</v>
      </c>
      <c r="H17" s="4" t="s">
        <v>57</v>
      </c>
      <c r="K17" s="8">
        <f>K9/(K9+K11)</f>
        <v>0.5</v>
      </c>
    </row>
    <row r="18" spans="1:11" x14ac:dyDescent="0.25">
      <c r="A18" s="4" t="s">
        <v>58</v>
      </c>
      <c r="F18" s="10" t="s">
        <v>275</v>
      </c>
      <c r="H18" s="4" t="s">
        <v>58</v>
      </c>
      <c r="K18" s="10" t="s">
        <v>275</v>
      </c>
    </row>
    <row r="21" spans="1:11" ht="15.75" x14ac:dyDescent="0.25">
      <c r="A21" s="3" t="s">
        <v>59</v>
      </c>
      <c r="H21" s="3" t="s">
        <v>60</v>
      </c>
    </row>
    <row r="22" spans="1:11" x14ac:dyDescent="0.25">
      <c r="A22" s="4" t="s">
        <v>47</v>
      </c>
      <c r="F22">
        <f>COUNTIFS(H2:H4,"&lt;&gt;*_FP",H2:H4,"&lt;&gt;",H2:H4,"&lt;&gt;no structure")</f>
        <v>2</v>
      </c>
      <c r="H22" s="4" t="s">
        <v>47</v>
      </c>
      <c r="K22">
        <f>COUNTIFS(H2:H4,"&lt;&gt;*_FP",H2:H4,"&lt;&gt;",H2:H4,"&lt;&gt;no structure",T2:T4,"&lt;&gt;TRUE")</f>
        <v>2</v>
      </c>
    </row>
    <row r="23" spans="1:11" x14ac:dyDescent="0.25">
      <c r="A23" s="4" t="s">
        <v>48</v>
      </c>
      <c r="F23">
        <f>COUNTIFS(K2:K4,"&gt;0")</f>
        <v>1</v>
      </c>
      <c r="H23" s="4" t="s">
        <v>48</v>
      </c>
      <c r="K23">
        <f>COUNTIFS(K2:K4,"&gt;0",T2:T4,"&lt;&gt;TRUE")</f>
        <v>1</v>
      </c>
    </row>
    <row r="24" spans="1:11" x14ac:dyDescent="0.25">
      <c r="A24" s="4" t="s">
        <v>49</v>
      </c>
      <c r="F24">
        <f>COUNTIFS(L2:L4,"&gt;0")</f>
        <v>0</v>
      </c>
      <c r="H24" s="4" t="s">
        <v>49</v>
      </c>
      <c r="K24">
        <f>COUNTIFS(L2:L4,"&gt;0",U2:U4,"&lt;&gt;TRUE")</f>
        <v>0</v>
      </c>
    </row>
    <row r="25" spans="1:11" x14ac:dyDescent="0.25">
      <c r="A25" s="4" t="s">
        <v>50</v>
      </c>
      <c r="F25">
        <f>COUNTIFS(K2:K4,"&lt;&gt;-1",K2:K4,"&lt;&gt;0",K2:K4,"&lt;2")</f>
        <v>0</v>
      </c>
      <c r="H25" s="4" t="s">
        <v>50</v>
      </c>
      <c r="K25">
        <f>COUNTIFS(K2:K4,"&lt;&gt;-1",K2:K4,"&lt;&gt;0",K2:K4,"&lt;2",T2:T4,"&lt;&gt;TRUE")</f>
        <v>0</v>
      </c>
    </row>
    <row r="26" spans="1:11" x14ac:dyDescent="0.25">
      <c r="A26" s="4" t="s">
        <v>51</v>
      </c>
      <c r="F26">
        <f>COUNTIFS(L2:L4,"&lt;&gt;-1",L2:L4,"&lt;&gt;0",L2:L4,"&lt;2")</f>
        <v>0</v>
      </c>
      <c r="H26" s="4" t="s">
        <v>51</v>
      </c>
      <c r="K26">
        <f>COUNTIFS(L2:L4,"&lt;&gt;-1",L2:L4,"&lt;&gt;0",L2:L4,"&lt;2",U2:U4,"&lt;&gt;TRUE")</f>
        <v>0</v>
      </c>
    </row>
    <row r="27" spans="1:11" x14ac:dyDescent="0.25">
      <c r="A27" s="4" t="s">
        <v>52</v>
      </c>
      <c r="F27">
        <f>COUNTIFS(K2:K4,"=-1")+COUNTIFS(K2:K4,"=-3")</f>
        <v>1</v>
      </c>
      <c r="H27" s="4" t="s">
        <v>52</v>
      </c>
      <c r="K27">
        <f>COUNTIFS(K2:K4,"=-1",T2:T4,"&lt;&gt;TRUE")+COUNTIFS(K2:K4,"=-3",T2:T4,"&lt;&gt;TRUE")</f>
        <v>1</v>
      </c>
    </row>
    <row r="28" spans="1:11" x14ac:dyDescent="0.25">
      <c r="A28" s="4" t="s">
        <v>53</v>
      </c>
      <c r="F28">
        <f>COUNTIFS(L2:L4,"=-1")+COUNTIFS(L2:L4,"=-3")</f>
        <v>2</v>
      </c>
      <c r="H28" s="4" t="s">
        <v>53</v>
      </c>
      <c r="K28">
        <f>COUNTIFS(L2:L4,"=-1",U2:U4,"&lt;&gt;TRUE")+COUNTIFS(L2:L4,"=-3",U2:U4,"&lt;&gt;TRUE")</f>
        <v>2</v>
      </c>
    </row>
    <row r="29" spans="1:11" x14ac:dyDescent="0.25">
      <c r="A29" s="4" t="s">
        <v>54</v>
      </c>
      <c r="F29" s="8">
        <f>F23/F22</f>
        <v>0.5</v>
      </c>
      <c r="H29" s="4" t="s">
        <v>54</v>
      </c>
      <c r="K29" s="8">
        <f>K23/K22</f>
        <v>0.5</v>
      </c>
    </row>
    <row r="30" spans="1:11" x14ac:dyDescent="0.25">
      <c r="A30" s="4" t="s">
        <v>55</v>
      </c>
      <c r="F30" s="8">
        <f>F24/F22</f>
        <v>0</v>
      </c>
      <c r="H30" s="4" t="s">
        <v>56</v>
      </c>
      <c r="K30" s="8">
        <f>K24/K22</f>
        <v>0</v>
      </c>
    </row>
    <row r="31" spans="1:11" x14ac:dyDescent="0.25">
      <c r="A31" s="4" t="s">
        <v>57</v>
      </c>
      <c r="F31" s="8">
        <f>F23/(F23+F25)</f>
        <v>1</v>
      </c>
      <c r="H31" s="4" t="s">
        <v>57</v>
      </c>
      <c r="K31" s="8">
        <f>K23/(K23+K25)</f>
        <v>1</v>
      </c>
    </row>
    <row r="32" spans="1:11" x14ac:dyDescent="0.25">
      <c r="A32" s="4" t="s">
        <v>58</v>
      </c>
      <c r="F32" s="10" t="s">
        <v>275</v>
      </c>
      <c r="H32" s="4" t="s">
        <v>58</v>
      </c>
      <c r="K32" s="10" t="s">
        <v>275</v>
      </c>
    </row>
    <row r="35" spans="1:1" ht="15.75" x14ac:dyDescent="0.25">
      <c r="A35" s="3" t="s">
        <v>61</v>
      </c>
    </row>
    <row r="36" spans="1:1" x14ac:dyDescent="0.25">
      <c r="A36" s="1" t="s">
        <v>62</v>
      </c>
    </row>
    <row r="37" spans="1:1" x14ac:dyDescent="0.25">
      <c r="A37" s="5" t="s">
        <v>63</v>
      </c>
    </row>
    <row r="39" spans="1:1" x14ac:dyDescent="0.25">
      <c r="A39" s="1" t="s">
        <v>64</v>
      </c>
    </row>
    <row r="40" spans="1:1" x14ac:dyDescent="0.25">
      <c r="A40" s="6" t="s">
        <v>65</v>
      </c>
    </row>
    <row r="41" spans="1:1" x14ac:dyDescent="0.25">
      <c r="A41" s="7" t="s">
        <v>66</v>
      </c>
    </row>
    <row r="42" spans="1:1" x14ac:dyDescent="0.25">
      <c r="A42" s="5" t="s">
        <v>67</v>
      </c>
    </row>
    <row r="44" spans="1:1" x14ac:dyDescent="0.25">
      <c r="A44" s="4" t="s">
        <v>68</v>
      </c>
    </row>
    <row r="45" spans="1:1" x14ac:dyDescent="0.25">
      <c r="A45" t="s">
        <v>69</v>
      </c>
    </row>
    <row r="46" spans="1:1" x14ac:dyDescent="0.25">
      <c r="A46" t="s">
        <v>70</v>
      </c>
    </row>
    <row r="47" spans="1:1" x14ac:dyDescent="0.25">
      <c r="A47" t="s">
        <v>71</v>
      </c>
    </row>
    <row r="48" spans="1:1" x14ac:dyDescent="0.25">
      <c r="A48" t="s">
        <v>72</v>
      </c>
    </row>
    <row r="49" spans="1:1" x14ac:dyDescent="0.25">
      <c r="A49" t="s">
        <v>73</v>
      </c>
    </row>
    <row r="50" spans="1:1" x14ac:dyDescent="0.25">
      <c r="A50" t="s">
        <v>74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workbookViewId="0"/>
  </sheetViews>
  <sheetFormatPr baseColWidth="10" defaultColWidth="8.85546875" defaultRowHeight="15" x14ac:dyDescent="0.25"/>
  <cols>
    <col min="2" max="2" width="11" customWidth="1"/>
    <col min="4" max="7" width="13" customWidth="1"/>
    <col min="8" max="11" width="10" customWidth="1"/>
    <col min="12" max="12" width="27" customWidth="1"/>
    <col min="13" max="14" width="17" customWidth="1"/>
  </cols>
  <sheetData>
    <row r="1" spans="1:14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10</v>
      </c>
      <c r="I1" s="2" t="s">
        <v>11</v>
      </c>
      <c r="J1" s="2" t="s">
        <v>12</v>
      </c>
      <c r="K1" s="2" t="s">
        <v>13</v>
      </c>
      <c r="L1" s="2" t="s">
        <v>14</v>
      </c>
      <c r="M1" s="2" t="s">
        <v>15</v>
      </c>
      <c r="N1" s="2" t="s">
        <v>16</v>
      </c>
    </row>
    <row r="4" spans="1:14" ht="15.75" x14ac:dyDescent="0.25">
      <c r="A4" s="3" t="s">
        <v>45</v>
      </c>
      <c r="H4" s="3" t="s">
        <v>46</v>
      </c>
    </row>
    <row r="5" spans="1:14" x14ac:dyDescent="0.25">
      <c r="A5" s="4" t="s">
        <v>47</v>
      </c>
      <c r="F5">
        <v>0</v>
      </c>
      <c r="H5" s="4" t="s">
        <v>47</v>
      </c>
      <c r="K5">
        <v>0</v>
      </c>
    </row>
    <row r="6" spans="1:14" x14ac:dyDescent="0.25">
      <c r="A6" s="4" t="s">
        <v>48</v>
      </c>
      <c r="F6">
        <f>COUNTIFS(F1:F2,"&gt;0")</f>
        <v>0</v>
      </c>
      <c r="H6" s="4" t="s">
        <v>48</v>
      </c>
      <c r="K6">
        <f>COUNTIFS(F1:F2,"&gt;0",M1:M2,"&lt;&gt;TRUE")</f>
        <v>0</v>
      </c>
    </row>
    <row r="7" spans="1:14" x14ac:dyDescent="0.25">
      <c r="A7" s="4" t="s">
        <v>49</v>
      </c>
      <c r="F7">
        <f>COUNTIFS(G1:G2,"&gt;0")</f>
        <v>0</v>
      </c>
      <c r="H7" s="4" t="s">
        <v>49</v>
      </c>
      <c r="K7">
        <f>COUNTIFS(G1:G2,"&gt;0",N1:N2,"&lt;&gt;TRUE")</f>
        <v>0</v>
      </c>
    </row>
    <row r="8" spans="1:14" x14ac:dyDescent="0.25">
      <c r="A8" s="4" t="s">
        <v>50</v>
      </c>
      <c r="F8">
        <f>COUNTIFS(F1:F2,"&lt;&gt;-1",F1:F2,"&lt;&gt;0",F1:F2,"&lt;2")</f>
        <v>0</v>
      </c>
      <c r="H8" s="4" t="s">
        <v>50</v>
      </c>
      <c r="K8">
        <f>COUNTIFS(F1:F2,"&lt;&gt;-1",F1:F2,"&lt;&gt;0",F1:F2,"&lt;2",M1:M2,"&lt;&gt;TRUE")</f>
        <v>0</v>
      </c>
    </row>
    <row r="9" spans="1:14" x14ac:dyDescent="0.25">
      <c r="A9" s="4" t="s">
        <v>51</v>
      </c>
      <c r="F9">
        <f>COUNTIFS(G1:G2,"&lt;&gt;-1",G1:G2,"&lt;&gt;0",G1:G2,"&lt;2")</f>
        <v>0</v>
      </c>
      <c r="H9" s="4" t="s">
        <v>51</v>
      </c>
      <c r="K9">
        <f>COUNTIFS(G1:G2,"&lt;&gt;-1",G1:G2,"&lt;&gt;0",G1:G2,"&lt;2",N1:N2,"&lt;&gt;TRUE")</f>
        <v>0</v>
      </c>
    </row>
    <row r="10" spans="1:14" x14ac:dyDescent="0.25">
      <c r="A10" s="4" t="s">
        <v>52</v>
      </c>
      <c r="F10">
        <f>COUNTIFS(F1:F2,"=-1")+COUNTIFS(F1:F2,"=-3")</f>
        <v>0</v>
      </c>
      <c r="H10" s="4" t="s">
        <v>52</v>
      </c>
      <c r="K10">
        <f>COUNTIFS(F1:F2,"=-1",M1:M2,"&lt;&gt;TRUE")+COUNTIFS(F1:F2,"=-3",M1:M2,"&lt;&gt;TRUE")</f>
        <v>0</v>
      </c>
    </row>
    <row r="11" spans="1:14" x14ac:dyDescent="0.25">
      <c r="A11" s="4" t="s">
        <v>53</v>
      </c>
      <c r="F11">
        <f>COUNTIFS(G1:G2,"=-1")+COUNTIFS(G1:G2,"=-3")</f>
        <v>0</v>
      </c>
      <c r="H11" s="4" t="s">
        <v>53</v>
      </c>
      <c r="K11">
        <f>COUNTIFS(G1:G2,"=-1",N1:N2,"&lt;&gt;TRUE")+COUNTIFS(G1:G2,"=-3",N1:N2,"&lt;&gt;TRUE")</f>
        <v>0</v>
      </c>
    </row>
    <row r="12" spans="1:14" x14ac:dyDescent="0.25">
      <c r="A12" s="4" t="s">
        <v>54</v>
      </c>
      <c r="F12" s="10" t="s">
        <v>275</v>
      </c>
      <c r="H12" s="4" t="s">
        <v>54</v>
      </c>
      <c r="K12" s="10" t="s">
        <v>275</v>
      </c>
    </row>
    <row r="13" spans="1:14" x14ac:dyDescent="0.25">
      <c r="A13" s="4" t="s">
        <v>55</v>
      </c>
      <c r="F13" s="10" t="s">
        <v>275</v>
      </c>
      <c r="H13" s="4" t="s">
        <v>56</v>
      </c>
      <c r="K13" s="10" t="s">
        <v>275</v>
      </c>
    </row>
    <row r="14" spans="1:14" x14ac:dyDescent="0.25">
      <c r="A14" s="4" t="s">
        <v>57</v>
      </c>
      <c r="F14" s="10" t="s">
        <v>275</v>
      </c>
      <c r="H14" s="4" t="s">
        <v>57</v>
      </c>
      <c r="K14" s="10" t="s">
        <v>275</v>
      </c>
    </row>
    <row r="15" spans="1:14" x14ac:dyDescent="0.25">
      <c r="A15" s="4" t="s">
        <v>58</v>
      </c>
      <c r="F15" s="10" t="s">
        <v>275</v>
      </c>
      <c r="H15" s="4" t="s">
        <v>58</v>
      </c>
      <c r="K15" s="10" t="s">
        <v>275</v>
      </c>
    </row>
    <row r="18" spans="1:1" ht="15.75" x14ac:dyDescent="0.25">
      <c r="A18" s="3" t="s">
        <v>61</v>
      </c>
    </row>
    <row r="19" spans="1:1" x14ac:dyDescent="0.25">
      <c r="A19" s="1" t="s">
        <v>62</v>
      </c>
    </row>
    <row r="20" spans="1:1" x14ac:dyDescent="0.25">
      <c r="A20" s="5" t="s">
        <v>63</v>
      </c>
    </row>
    <row r="22" spans="1:1" x14ac:dyDescent="0.25">
      <c r="A22" s="1" t="s">
        <v>64</v>
      </c>
    </row>
    <row r="23" spans="1:1" x14ac:dyDescent="0.25">
      <c r="A23" s="6" t="s">
        <v>65</v>
      </c>
    </row>
    <row r="24" spans="1:1" x14ac:dyDescent="0.25">
      <c r="A24" s="7" t="s">
        <v>66</v>
      </c>
    </row>
    <row r="25" spans="1:1" x14ac:dyDescent="0.25">
      <c r="A25" s="5" t="s">
        <v>67</v>
      </c>
    </row>
    <row r="27" spans="1:1" x14ac:dyDescent="0.25">
      <c r="A27" s="4" t="s">
        <v>68</v>
      </c>
    </row>
    <row r="28" spans="1:1" x14ac:dyDescent="0.25">
      <c r="A28" t="s">
        <v>69</v>
      </c>
    </row>
    <row r="29" spans="1:1" x14ac:dyDescent="0.25">
      <c r="A29" t="s">
        <v>70</v>
      </c>
    </row>
    <row r="30" spans="1:1" x14ac:dyDescent="0.25">
      <c r="A30" t="s">
        <v>71</v>
      </c>
    </row>
    <row r="31" spans="1:1" x14ac:dyDescent="0.25">
      <c r="A31" t="s">
        <v>72</v>
      </c>
    </row>
    <row r="32" spans="1:1" x14ac:dyDescent="0.25">
      <c r="A32" t="s">
        <v>73</v>
      </c>
    </row>
    <row r="33" spans="1:1" x14ac:dyDescent="0.25">
      <c r="A33" t="s">
        <v>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Summary</vt:lpstr>
      <vt:lpstr>PI</vt:lpstr>
      <vt:lpstr>P-PE</vt:lpstr>
      <vt:lpstr>LPE</vt:lpstr>
      <vt:lpstr>PS</vt:lpstr>
      <vt:lpstr>PC</vt:lpstr>
      <vt:lpstr>PE</vt:lpstr>
      <vt:lpstr>PG</vt:lpstr>
      <vt:lpstr>Cer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Köfeler Harald, Mag.Dr.</cp:lastModifiedBy>
  <dcterms:created xsi:type="dcterms:W3CDTF">2017-03-17T14:42:28Z</dcterms:created>
  <dcterms:modified xsi:type="dcterms:W3CDTF">2017-05-02T08:17:35Z</dcterms:modified>
</cp:coreProperties>
</file>