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766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13" i="9"/>
  <c r="M13" i="9"/>
  <c r="C13" i="9"/>
  <c r="G13" i="9" l="1"/>
  <c r="E13" i="9"/>
  <c r="C30" i="9"/>
  <c r="E30" i="9"/>
  <c r="G30" i="9"/>
  <c r="G28" i="9"/>
  <c r="E28" i="9"/>
  <c r="C28" i="9"/>
  <c r="G11" i="9"/>
  <c r="E11" i="9"/>
  <c r="C11" i="9"/>
  <c r="O30" i="9" l="1"/>
  <c r="M30" i="9"/>
  <c r="K30" i="9"/>
  <c r="I30" i="9"/>
  <c r="Q27" i="9"/>
  <c r="O27" i="9"/>
  <c r="M27" i="9"/>
  <c r="K27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O22" i="9"/>
  <c r="G22" i="9"/>
  <c r="Q21" i="9"/>
  <c r="O21" i="9"/>
  <c r="M21" i="9"/>
  <c r="K21" i="9"/>
  <c r="I21" i="9"/>
  <c r="G21" i="9"/>
  <c r="E21" i="9"/>
  <c r="C21" i="9"/>
  <c r="Q13" i="9"/>
  <c r="K13" i="9"/>
  <c r="I13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O5" i="9"/>
  <c r="G5" i="9"/>
  <c r="Q4" i="9"/>
  <c r="O4" i="9"/>
  <c r="M4" i="9"/>
  <c r="K4" i="9"/>
  <c r="I4" i="9"/>
  <c r="G4" i="9"/>
  <c r="E4" i="9"/>
  <c r="C4" i="9"/>
  <c r="K98" i="5" l="1"/>
  <c r="K97" i="5"/>
  <c r="K96" i="5"/>
  <c r="K95" i="5"/>
  <c r="K94" i="5"/>
  <c r="K93" i="5"/>
  <c r="K92" i="5"/>
  <c r="K91" i="5"/>
  <c r="K90" i="5"/>
  <c r="K89" i="5"/>
  <c r="K88" i="5"/>
  <c r="K84" i="5"/>
  <c r="K83" i="5"/>
  <c r="K82" i="5"/>
  <c r="K81" i="5"/>
  <c r="K80" i="5"/>
  <c r="K79" i="5"/>
  <c r="K78" i="5"/>
  <c r="K77" i="5"/>
  <c r="K76" i="5"/>
  <c r="K75" i="5"/>
  <c r="K74" i="5"/>
  <c r="K13" i="8" l="1"/>
  <c r="F13" i="8"/>
  <c r="K12" i="8"/>
  <c r="F12" i="8"/>
  <c r="K11" i="8"/>
  <c r="F11" i="8"/>
  <c r="K10" i="8"/>
  <c r="F10" i="8"/>
  <c r="K9" i="8"/>
  <c r="F9" i="8"/>
  <c r="K8" i="8"/>
  <c r="K14" i="8" s="1"/>
  <c r="F8" i="8"/>
  <c r="K7" i="8"/>
  <c r="K15" i="8" s="1"/>
  <c r="F7" i="8"/>
  <c r="F15" i="8" s="1"/>
  <c r="K6" i="8"/>
  <c r="F6" i="8"/>
  <c r="F14" i="8" s="1"/>
  <c r="K36" i="7"/>
  <c r="F36" i="7"/>
  <c r="K35" i="7"/>
  <c r="F35" i="7"/>
  <c r="K34" i="7"/>
  <c r="F34" i="7"/>
  <c r="K33" i="7"/>
  <c r="F33" i="7"/>
  <c r="K32" i="7"/>
  <c r="F32" i="7"/>
  <c r="K31" i="7"/>
  <c r="F31" i="7"/>
  <c r="K30" i="7"/>
  <c r="F30" i="7"/>
  <c r="K22" i="7"/>
  <c r="F22" i="7"/>
  <c r="K21" i="7"/>
  <c r="F21" i="7"/>
  <c r="K20" i="7"/>
  <c r="F20" i="7"/>
  <c r="K19" i="7"/>
  <c r="F19" i="7"/>
  <c r="K18" i="7"/>
  <c r="F18" i="7"/>
  <c r="K17" i="7"/>
  <c r="F17" i="7"/>
  <c r="K16" i="7"/>
  <c r="F16" i="7"/>
  <c r="K53" i="6"/>
  <c r="F53" i="6"/>
  <c r="K52" i="6"/>
  <c r="F52" i="6"/>
  <c r="K51" i="6"/>
  <c r="F51" i="6"/>
  <c r="K50" i="6"/>
  <c r="F50" i="6"/>
  <c r="K49" i="6"/>
  <c r="F49" i="6"/>
  <c r="K48" i="6"/>
  <c r="F48" i="6"/>
  <c r="K47" i="6"/>
  <c r="F47" i="6"/>
  <c r="K39" i="6"/>
  <c r="F39" i="6"/>
  <c r="K38" i="6"/>
  <c r="F38" i="6"/>
  <c r="K37" i="6"/>
  <c r="F37" i="6"/>
  <c r="K36" i="6"/>
  <c r="F36" i="6"/>
  <c r="K35" i="6"/>
  <c r="F35" i="6"/>
  <c r="F43" i="6" s="1"/>
  <c r="K34" i="6"/>
  <c r="F34" i="6"/>
  <c r="K33" i="6"/>
  <c r="K40" i="6" s="1"/>
  <c r="F33" i="6"/>
  <c r="F94" i="5"/>
  <c r="F93" i="5"/>
  <c r="F92" i="5"/>
  <c r="F91" i="5"/>
  <c r="F90" i="5"/>
  <c r="F89" i="5"/>
  <c r="F97" i="5" s="1"/>
  <c r="F88" i="5"/>
  <c r="F80" i="5"/>
  <c r="F79" i="5"/>
  <c r="F78" i="5"/>
  <c r="F77" i="5"/>
  <c r="F76" i="5"/>
  <c r="F75" i="5"/>
  <c r="F74" i="5"/>
  <c r="K29" i="4"/>
  <c r="K28" i="4"/>
  <c r="F28" i="4"/>
  <c r="K27" i="4"/>
  <c r="F27" i="4"/>
  <c r="K26" i="4"/>
  <c r="F26" i="4"/>
  <c r="K25" i="4"/>
  <c r="F25" i="4"/>
  <c r="K24" i="4"/>
  <c r="K32" i="4" s="1"/>
  <c r="F24" i="4"/>
  <c r="F32" i="4" s="1"/>
  <c r="K23" i="4"/>
  <c r="K31" i="4" s="1"/>
  <c r="F23" i="4"/>
  <c r="F29" i="4" s="1"/>
  <c r="K22" i="4"/>
  <c r="K30" i="4" s="1"/>
  <c r="F22" i="4"/>
  <c r="F30" i="4" s="1"/>
  <c r="K15" i="4"/>
  <c r="F15" i="4"/>
  <c r="K14" i="4"/>
  <c r="F14" i="4"/>
  <c r="K13" i="4"/>
  <c r="F13" i="4"/>
  <c r="K12" i="4"/>
  <c r="F12" i="4"/>
  <c r="K11" i="4"/>
  <c r="F11" i="4"/>
  <c r="K10" i="4"/>
  <c r="K16" i="4" s="1"/>
  <c r="F10" i="4"/>
  <c r="F18" i="4" s="1"/>
  <c r="K9" i="4"/>
  <c r="K17" i="4" s="1"/>
  <c r="F9" i="4"/>
  <c r="F17" i="4" s="1"/>
  <c r="K8" i="4"/>
  <c r="F8" i="4"/>
  <c r="F16" i="4" s="1"/>
  <c r="K13" i="3"/>
  <c r="F13" i="3"/>
  <c r="K12" i="3"/>
  <c r="F12" i="3"/>
  <c r="K11" i="3"/>
  <c r="F11" i="3"/>
  <c r="K10" i="3"/>
  <c r="F10" i="3"/>
  <c r="K9" i="3"/>
  <c r="K15" i="3" s="1"/>
  <c r="F9" i="3"/>
  <c r="F15" i="3" s="1"/>
  <c r="K8" i="3"/>
  <c r="K14" i="3" s="1"/>
  <c r="F8" i="3"/>
  <c r="F16" i="3" s="1"/>
  <c r="K7" i="3"/>
  <c r="F7" i="3"/>
  <c r="F14" i="3" s="1"/>
  <c r="K26" i="2"/>
  <c r="F26" i="2"/>
  <c r="K25" i="2"/>
  <c r="F25" i="2"/>
  <c r="K24" i="2"/>
  <c r="F24" i="2"/>
  <c r="K23" i="2"/>
  <c r="F23" i="2"/>
  <c r="K22" i="2"/>
  <c r="F22" i="2"/>
  <c r="K21" i="2"/>
  <c r="F21" i="2"/>
  <c r="K20" i="2"/>
  <c r="F20" i="2"/>
  <c r="K12" i="2"/>
  <c r="F12" i="2"/>
  <c r="K11" i="2"/>
  <c r="F11" i="2"/>
  <c r="K10" i="2"/>
  <c r="F10" i="2"/>
  <c r="K9" i="2"/>
  <c r="F9" i="2"/>
  <c r="K8" i="2"/>
  <c r="F8" i="2"/>
  <c r="K7" i="2"/>
  <c r="K15" i="2" s="1"/>
  <c r="F7" i="2"/>
  <c r="K6" i="2"/>
  <c r="F6" i="2"/>
  <c r="K39" i="1"/>
  <c r="F39" i="1"/>
  <c r="K38" i="1"/>
  <c r="F38" i="1"/>
  <c r="K37" i="1"/>
  <c r="F37" i="1"/>
  <c r="K36" i="1"/>
  <c r="F36" i="1"/>
  <c r="K35" i="1"/>
  <c r="K43" i="1" s="1"/>
  <c r="F35" i="1"/>
  <c r="F43" i="1" s="1"/>
  <c r="K34" i="1"/>
  <c r="K42" i="1" s="1"/>
  <c r="F34" i="1"/>
  <c r="F42" i="1" s="1"/>
  <c r="K33" i="1"/>
  <c r="F33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F37" i="7" l="1"/>
  <c r="K24" i="7"/>
  <c r="K26" i="7"/>
  <c r="F39" i="7"/>
  <c r="F38" i="7"/>
  <c r="K37" i="7"/>
  <c r="K38" i="7"/>
  <c r="F23" i="7"/>
  <c r="F24" i="7"/>
  <c r="K23" i="7"/>
  <c r="K57" i="6"/>
  <c r="K56" i="6"/>
  <c r="F57" i="6"/>
  <c r="F41" i="6"/>
  <c r="F42" i="6"/>
  <c r="K42" i="6"/>
  <c r="K41" i="6"/>
  <c r="F40" i="6"/>
  <c r="F55" i="6"/>
  <c r="K55" i="6"/>
  <c r="F54" i="6"/>
  <c r="K54" i="6"/>
  <c r="F95" i="5"/>
  <c r="F81" i="5"/>
  <c r="F96" i="5"/>
  <c r="F82" i="5"/>
  <c r="F26" i="1"/>
  <c r="K27" i="1"/>
  <c r="K26" i="1"/>
  <c r="F27" i="1"/>
  <c r="F28" i="1"/>
  <c r="F41" i="1"/>
  <c r="F40" i="1"/>
  <c r="K40" i="1"/>
  <c r="K28" i="1"/>
  <c r="K16" i="3"/>
  <c r="K18" i="4"/>
  <c r="K43" i="6"/>
  <c r="K39" i="7"/>
  <c r="F29" i="1"/>
  <c r="F98" i="5"/>
  <c r="F25" i="7"/>
  <c r="K29" i="2"/>
  <c r="K25" i="7"/>
  <c r="K40" i="7"/>
  <c r="F15" i="2"/>
  <c r="F31" i="4"/>
  <c r="F84" i="5"/>
  <c r="F56" i="6"/>
  <c r="F26" i="7"/>
  <c r="K41" i="1"/>
  <c r="F29" i="2"/>
  <c r="F83" i="5"/>
  <c r="F40" i="7"/>
  <c r="K29" i="1"/>
</calcChain>
</file>

<file path=xl/sharedStrings.xml><?xml version="1.0" encoding="utf-8"?>
<sst xmlns="http://schemas.openxmlformats.org/spreadsheetml/2006/main" count="2117" uniqueCount="513">
  <si>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</si>
  <si>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</si>
  <si>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</si>
  <si>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</si>
  <si>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</si>
  <si>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</si>
  <si>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</si>
  <si>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</si>
  <si>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</si>
  <si>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</si>
  <si>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</si>
  <si>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</si>
  <si>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</si>
  <si>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</si>
  <si>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</si>
  <si>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</si>
  <si>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</si>
  <si>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</si>
  <si>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</si>
  <si>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32:6_FP</t>
  </si>
  <si>
    <t>-H</t>
  </si>
  <si>
    <t>32:6</t>
  </si>
  <si>
    <t>not reported</t>
  </si>
  <si>
    <t>20:1_12:5_FP</t>
  </si>
  <si>
    <t>20:1_12:5</t>
  </si>
  <si>
    <t xml:space="preserve">29.48 </t>
  </si>
  <si>
    <t>34:2</t>
  </si>
  <si>
    <t>16:0/18:2</t>
  </si>
  <si>
    <t>22.1</t>
  </si>
  <si>
    <t>22.10302</t>
  </si>
  <si>
    <t>36:0_FP</t>
  </si>
  <si>
    <t>36:0</t>
  </si>
  <si>
    <t>18:0/18:0_FP</t>
  </si>
  <si>
    <t>18:0/18:0</t>
  </si>
  <si>
    <t>20.49078</t>
  </si>
  <si>
    <t>36:2</t>
  </si>
  <si>
    <t>18:1/18:1</t>
  </si>
  <si>
    <t>23.1</t>
  </si>
  <si>
    <t xml:space="preserve">23.78 </t>
  </si>
  <si>
    <t>36:3</t>
  </si>
  <si>
    <t>18:1/18:2</t>
  </si>
  <si>
    <t>22.6</t>
  </si>
  <si>
    <t xml:space="preserve">22.67 </t>
  </si>
  <si>
    <t>16:0/20:3</t>
  </si>
  <si>
    <t>22.07520</t>
  </si>
  <si>
    <t>36:4</t>
  </si>
  <si>
    <t>16:0/20:4</t>
  </si>
  <si>
    <t>22.0</t>
  </si>
  <si>
    <t xml:space="preserve">22.05 </t>
  </si>
  <si>
    <t>21.95053</t>
  </si>
  <si>
    <t>36:5</t>
  </si>
  <si>
    <t>21.3</t>
  </si>
  <si>
    <t>20.69</t>
  </si>
  <si>
    <t>37:4</t>
  </si>
  <si>
    <t>17:0/20:4</t>
  </si>
  <si>
    <t>22.8</t>
  </si>
  <si>
    <t xml:space="preserve">22.92 </t>
  </si>
  <si>
    <t>22.9477</t>
  </si>
  <si>
    <t>38:3</t>
  </si>
  <si>
    <t>20:3/18:0 18:0/20:3</t>
  </si>
  <si>
    <t>38:4</t>
  </si>
  <si>
    <t>18:0/20:4</t>
  </si>
  <si>
    <t>23.8</t>
  </si>
  <si>
    <t>23.69573 23.94497</t>
  </si>
  <si>
    <t>38:5</t>
  </si>
  <si>
    <t>18:1/20:4</t>
  </si>
  <si>
    <t>22.3</t>
  </si>
  <si>
    <t xml:space="preserve">22.42 </t>
  </si>
  <si>
    <t>22.32405</t>
  </si>
  <si>
    <t>16:0/22:5</t>
  </si>
  <si>
    <t>22:5/16:0</t>
  </si>
  <si>
    <t>40:6</t>
  </si>
  <si>
    <t>18:0/22:6</t>
  </si>
  <si>
    <t>22:6/18:0 18:0/22:6</t>
  </si>
  <si>
    <t>23.3</t>
  </si>
  <si>
    <t xml:space="preserve">23.28 </t>
  </si>
  <si>
    <t>23.34943 23.34943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</si>
  <si>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</si>
  <si>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</si>
  <si>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</si>
  <si>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</si>
  <si>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</si>
  <si>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</si>
  <si>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</si>
  <si>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</si>
  <si>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</si>
  <si>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</si>
  <si>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</si>
  <si>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</si>
  <si>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</si>
  <si>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</si>
  <si>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</si>
  <si>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</si>
  <si>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</si>
  <si>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</si>
  <si>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</si>
  <si>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</si>
  <si>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</si>
  <si>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</si>
  <si>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</si>
  <si>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</si>
  <si>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</si>
  <si>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</si>
  <si>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</si>
  <si>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</si>
  <si>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</si>
  <si>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</si>
  <si>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</si>
  <si>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36:6_FP</t>
  </si>
  <si>
    <t>36:6</t>
  </si>
  <si>
    <t>P-20:6/16:0_FP</t>
  </si>
  <si>
    <t>P-20:6/16:0</t>
  </si>
  <si>
    <t xml:space="preserve">26.26 </t>
  </si>
  <si>
    <t>LPE</t>
  </si>
  <si>
    <t>16:0</t>
  </si>
  <si>
    <t>7.5</t>
  </si>
  <si>
    <t>7.87</t>
  </si>
  <si>
    <t>18:0</t>
  </si>
  <si>
    <t>11.0</t>
  </si>
  <si>
    <t>11.18</t>
  </si>
  <si>
    <t>PS</t>
  </si>
  <si>
    <t>24.3</t>
  </si>
  <si>
    <t xml:space="preserve">24.17 </t>
  </si>
  <si>
    <t>24.06978 24.34705</t>
  </si>
  <si>
    <t>28:2_10:2_FP</t>
  </si>
  <si>
    <t>28:2_10:2</t>
  </si>
  <si>
    <t>24.1</t>
  </si>
  <si>
    <t>23.77925 24.12542 23.77925 24.12542</t>
  </si>
  <si>
    <t>PC</t>
  </si>
  <si>
    <t>32:0</t>
  </si>
  <si>
    <t>HCOO</t>
  </si>
  <si>
    <t>16:0/16:0</t>
  </si>
  <si>
    <t>26.3</t>
  </si>
  <si>
    <t xml:space="preserve">26.39 </t>
  </si>
  <si>
    <t>26.3497</t>
  </si>
  <si>
    <t>13:0/19:0 19:0/13:0_FP</t>
  </si>
  <si>
    <t>13:0/19:0 19:0/13:0</t>
  </si>
  <si>
    <t>-CH3</t>
  </si>
  <si>
    <t>26.3775</t>
  </si>
  <si>
    <t>14:0/18:0_FP</t>
  </si>
  <si>
    <t>14:0/18:0</t>
  </si>
  <si>
    <t>32:1_noMS2</t>
  </si>
  <si>
    <t>32:1</t>
  </si>
  <si>
    <t>24.8</t>
  </si>
  <si>
    <t>25.39</t>
  </si>
  <si>
    <t>not counted: only MS1 identification</t>
  </si>
  <si>
    <t>32:2_noMS2</t>
  </si>
  <si>
    <t>32:2</t>
  </si>
  <si>
    <t>23.6</t>
  </si>
  <si>
    <t>24.03</t>
  </si>
  <si>
    <t>33:0_noMS2</t>
  </si>
  <si>
    <t>33:0</t>
  </si>
  <si>
    <t>27.1</t>
  </si>
  <si>
    <t>27.12</t>
  </si>
  <si>
    <t>34:0_noMS2</t>
  </si>
  <si>
    <t>34:0</t>
  </si>
  <si>
    <t>18:0/16:0 16:0/18:0_FP</t>
  </si>
  <si>
    <t>18:0/16:0 16:0/18:0</t>
  </si>
  <si>
    <t>34:1</t>
  </si>
  <si>
    <t>16:0/18:1</t>
  </si>
  <si>
    <t>26.5</t>
  </si>
  <si>
    <t xml:space="preserve">26.62 </t>
  </si>
  <si>
    <t>26.57008 27.73255</t>
  </si>
  <si>
    <t>25.1</t>
  </si>
  <si>
    <t xml:space="preserve">25.26 </t>
  </si>
  <si>
    <t>25.07972 25.29718 25.54670 25.85190</t>
  </si>
  <si>
    <t>25.42190 25.67140 26.00435</t>
  </si>
  <si>
    <t>34:3</t>
  </si>
  <si>
    <t>16:1/18:2</t>
  </si>
  <si>
    <t>24.0</t>
  </si>
  <si>
    <t>24.15322</t>
  </si>
  <si>
    <t>16:0/18:3</t>
  </si>
  <si>
    <t>18:3_16:0</t>
  </si>
  <si>
    <t>34:4_noMS2</t>
  </si>
  <si>
    <t>34:4</t>
  </si>
  <si>
    <t>23.42</t>
  </si>
  <si>
    <t>35:2_noMS2</t>
  </si>
  <si>
    <t>35:2</t>
  </si>
  <si>
    <t>26.1</t>
  </si>
  <si>
    <t>26.26</t>
  </si>
  <si>
    <t>35:4_noMS2</t>
  </si>
  <si>
    <t>35:4</t>
  </si>
  <si>
    <t>35:5_FP</t>
  </si>
  <si>
    <t>35:5</t>
  </si>
  <si>
    <t>15:1/20:4_FP</t>
  </si>
  <si>
    <t>15:1/20:4</t>
  </si>
  <si>
    <t xml:space="preserve">27.37 </t>
  </si>
  <si>
    <t>27.45570</t>
  </si>
  <si>
    <t>36:1</t>
  </si>
  <si>
    <t>18:0/18:1</t>
  </si>
  <si>
    <t>28.5</t>
  </si>
  <si>
    <t xml:space="preserve">28.48 </t>
  </si>
  <si>
    <t>27.11640 28.3970 28.60213 28.88935 29.44335 29.8460</t>
  </si>
  <si>
    <t>16:0/20:1_FP</t>
  </si>
  <si>
    <t>16:0/20:1</t>
  </si>
  <si>
    <t>33.21890</t>
  </si>
  <si>
    <t>18:1_18:0</t>
  </si>
  <si>
    <t>28.4248</t>
  </si>
  <si>
    <t>18:0/18:2</t>
  </si>
  <si>
    <t xml:space="preserve">27.01 </t>
  </si>
  <si>
    <t>26.8113 27.03293 27.2815 27.52425 27.77410 28.02262 28.64370</t>
  </si>
  <si>
    <t>27.15768 27.4000 27.64908 27.95332 28.17535 28.57765</t>
  </si>
  <si>
    <t>16:0/20:3 20:3/16:0</t>
  </si>
  <si>
    <t>25.6</t>
  </si>
  <si>
    <t xml:space="preserve">25.76 </t>
  </si>
  <si>
    <t>26.1005 26.1005</t>
  </si>
  <si>
    <t>25.57452 25.79627</t>
  </si>
  <si>
    <t xml:space="preserve">25.64 </t>
  </si>
  <si>
    <t>25.63018 25.92087</t>
  </si>
  <si>
    <t xml:space="preserve">25.03 </t>
  </si>
  <si>
    <t>24.93557 25.17398</t>
  </si>
  <si>
    <t>25.3528 25.97652</t>
  </si>
  <si>
    <t>37:2_noMS2</t>
  </si>
  <si>
    <t>37:2</t>
  </si>
  <si>
    <t>28.0</t>
  </si>
  <si>
    <t>27.87</t>
  </si>
  <si>
    <t>27.98</t>
  </si>
  <si>
    <t>37:4_noMS2</t>
  </si>
  <si>
    <t>25.8</t>
  </si>
  <si>
    <t>25.89</t>
  </si>
  <si>
    <t>38:2</t>
  </si>
  <si>
    <t>18:0/20:2</t>
  </si>
  <si>
    <t>18:0/20:2 20:2/18:0</t>
  </si>
  <si>
    <t>28.6</t>
  </si>
  <si>
    <t>22:1/16:1 16:1/22:1_FP</t>
  </si>
  <si>
    <t>22:1/16:1 16:1/22:1</t>
  </si>
  <si>
    <t>29.34622 29.34622</t>
  </si>
  <si>
    <t>18:0/20:3</t>
  </si>
  <si>
    <t>27.6</t>
  </si>
  <si>
    <t xml:space="preserve">27.62 </t>
  </si>
  <si>
    <t>26.8670 27.48355 27.80195 28.07827 28.14753 28.4805 26.8670 27.48355 27.80195 28.07827 28.14753 28.4805</t>
  </si>
  <si>
    <t>27.67685 27.98113 27.67685 27.98113 28.27207</t>
  </si>
  <si>
    <t>26.6</t>
  </si>
  <si>
    <t xml:space="preserve">26.76 </t>
  </si>
  <si>
    <t>26.59238 26.7835 27.06068 27.60778</t>
  </si>
  <si>
    <t>26.93607 27.21215 27.42787 27.70470</t>
  </si>
  <si>
    <t>25.3</t>
  </si>
  <si>
    <t xml:space="preserve">25.51 </t>
  </si>
  <si>
    <t>25.47757 25.69923 26.12830</t>
  </si>
  <si>
    <t>22:5/16:0 16:0/22:5</t>
  </si>
  <si>
    <t>25.72707</t>
  </si>
  <si>
    <t>18:2/20:3_FP</t>
  </si>
  <si>
    <t>18:2/20:3</t>
  </si>
  <si>
    <t>24.76960</t>
  </si>
  <si>
    <t>38:6</t>
  </si>
  <si>
    <t>16:0/22:6</t>
  </si>
  <si>
    <t>22:6/16:0 16:0/22:6</t>
  </si>
  <si>
    <t>24.6</t>
  </si>
  <si>
    <t xml:space="preserve">24.53 </t>
  </si>
  <si>
    <t>24.49948 24.68615 24.49948 24.68615</t>
  </si>
  <si>
    <t>18:2/20:4</t>
  </si>
  <si>
    <t>24.22232 24.49948 24.68615</t>
  </si>
  <si>
    <t>22:6/16:0</t>
  </si>
  <si>
    <t xml:space="preserve">24.66 </t>
  </si>
  <si>
    <t>24.61702 24.83858 26.16968</t>
  </si>
  <si>
    <t>38:7_noMS2</t>
  </si>
  <si>
    <t>38:7</t>
  </si>
  <si>
    <t>39:4_noMS2</t>
  </si>
  <si>
    <t>39:4</t>
  </si>
  <si>
    <t>27.75</t>
  </si>
  <si>
    <t>39:6_noMS2</t>
  </si>
  <si>
    <t>39:6</t>
  </si>
  <si>
    <t>39:8_FP</t>
  </si>
  <si>
    <t>39:8</t>
  </si>
  <si>
    <t>22:6/17:2 17:2/22:6_FP</t>
  </si>
  <si>
    <t>22:6/17:2 17:2/22:6</t>
  </si>
  <si>
    <t>31.19072 31.19072</t>
  </si>
  <si>
    <t>40:4_noMS2</t>
  </si>
  <si>
    <t>40:4</t>
  </si>
  <si>
    <t>28.1</t>
  </si>
  <si>
    <t>28.62</t>
  </si>
  <si>
    <t>40:5_noMS2</t>
  </si>
  <si>
    <t>40:5</t>
  </si>
  <si>
    <t>18:0/22:5 22:5/18:0_FP</t>
  </si>
  <si>
    <t>18:0/22:5 22:5/18:0</t>
  </si>
  <si>
    <t>27.3</t>
  </si>
  <si>
    <t>27.37</t>
  </si>
  <si>
    <t>22:6_18:0</t>
  </si>
  <si>
    <t>26.19752 26.47348 26.19752 26.47348</t>
  </si>
  <si>
    <t>18:1/22:5</t>
  </si>
  <si>
    <t>26.19752</t>
  </si>
  <si>
    <t>20:3/20:3_FP</t>
  </si>
  <si>
    <t>20:3/20:3</t>
  </si>
  <si>
    <t>26.47348</t>
  </si>
  <si>
    <t>22:6/18:0</t>
  </si>
  <si>
    <t>40:7_noMS2</t>
  </si>
  <si>
    <t>40:7</t>
  </si>
  <si>
    <t>24.91</t>
  </si>
  <si>
    <t>40:8_noMS2</t>
  </si>
  <si>
    <t>40:8</t>
  </si>
  <si>
    <t>23.92</t>
  </si>
  <si>
    <t>40:9</t>
  </si>
  <si>
    <t>40:9_noMS2</t>
  </si>
  <si>
    <t>22.55 23.42</t>
  </si>
  <si>
    <t>42:0_FP</t>
  </si>
  <si>
    <t>42:0</t>
  </si>
  <si>
    <t>26:0/16:0_FP</t>
  </si>
  <si>
    <t>26:0/16:0</t>
  </si>
  <si>
    <t>21.97837</t>
  </si>
  <si>
    <t>42:7_noMS2</t>
  </si>
  <si>
    <t>42:7</t>
  </si>
  <si>
    <t>26.39</t>
  </si>
  <si>
    <t>26.76</t>
  </si>
  <si>
    <t>42:8_noMS2</t>
  </si>
  <si>
    <t>42:8</t>
  </si>
  <si>
    <t>25.5</t>
  </si>
  <si>
    <t>25.51</t>
  </si>
  <si>
    <t>42:9_noMS2</t>
  </si>
  <si>
    <t>42:9</t>
  </si>
  <si>
    <t>24.66</t>
  </si>
  <si>
    <t>42:10</t>
  </si>
  <si>
    <t>22:6/20:4</t>
  </si>
  <si>
    <t>20:4/22:6</t>
  </si>
  <si>
    <t xml:space="preserve">23.53 </t>
  </si>
  <si>
    <t>23.5020</t>
  </si>
  <si>
    <t>42:10_noMS2</t>
  </si>
  <si>
    <t>44:10_FP</t>
  </si>
  <si>
    <t>44:10</t>
  </si>
  <si>
    <t>22:4/22:6_FP</t>
  </si>
  <si>
    <t>22:4/22:6</t>
  </si>
  <si>
    <t>20.54143</t>
  </si>
  <si>
    <t>PE</t>
  </si>
  <si>
    <t>24:0</t>
  </si>
  <si>
    <t>12:0/12:0</t>
  </si>
  <si>
    <t>17.6</t>
  </si>
  <si>
    <t xml:space="preserve">17.71 </t>
  </si>
  <si>
    <t>26.3775 26.3775</t>
  </si>
  <si>
    <t>26.32182</t>
  </si>
  <si>
    <t>25.0</t>
  </si>
  <si>
    <t xml:space="preserve">24.91 </t>
  </si>
  <si>
    <t>27.8</t>
  </si>
  <si>
    <t xml:space="preserve">27.75 </t>
  </si>
  <si>
    <t>27.82802</t>
  </si>
  <si>
    <t>18:2_18:0</t>
  </si>
  <si>
    <t>26.8</t>
  </si>
  <si>
    <t>26.68685</t>
  </si>
  <si>
    <t xml:space="preserve">25.39 </t>
  </si>
  <si>
    <t>25.44972</t>
  </si>
  <si>
    <t>24.89422</t>
  </si>
  <si>
    <t>16:1/20:4</t>
  </si>
  <si>
    <t>23.5</t>
  </si>
  <si>
    <t>23.57112</t>
  </si>
  <si>
    <t>27.5</t>
  </si>
  <si>
    <t>27.50</t>
  </si>
  <si>
    <t>25.76</t>
  </si>
  <si>
    <t xml:space="preserve">26.51 </t>
  </si>
  <si>
    <t>26.41882 26.74252</t>
  </si>
  <si>
    <t>25.75487</t>
  </si>
  <si>
    <t xml:space="preserve">24.42 </t>
  </si>
  <si>
    <t>24.37485 24.56848 24.37485 24.56848</t>
  </si>
  <si>
    <t>24.00062</t>
  </si>
  <si>
    <t>16:1/22:6</t>
  </si>
  <si>
    <t>22:6_16:1</t>
  </si>
  <si>
    <t xml:space="preserve">23.17 </t>
  </si>
  <si>
    <t>27.25</t>
  </si>
  <si>
    <t>39:7_noMS2</t>
  </si>
  <si>
    <t>39:7</t>
  </si>
  <si>
    <t>40:3_FP</t>
  </si>
  <si>
    <t>40:3</t>
  </si>
  <si>
    <t>20:0/20:3_FP</t>
  </si>
  <si>
    <t>20:0/20:3</t>
  </si>
  <si>
    <t>28.27207</t>
  </si>
  <si>
    <t>18:0/22:4 22:4/18:0</t>
  </si>
  <si>
    <t>18:0_22:6</t>
  </si>
  <si>
    <t>26.0</t>
  </si>
  <si>
    <t xml:space="preserve">26.01 </t>
  </si>
  <si>
    <t>18:1/22:6</t>
  </si>
  <si>
    <t xml:space="preserve">24.78 </t>
  </si>
  <si>
    <t>24.74180</t>
  </si>
  <si>
    <t>18:2/22:6</t>
  </si>
  <si>
    <t>23.44635</t>
  </si>
  <si>
    <t>PG</t>
  </si>
  <si>
    <t>23.0</t>
  </si>
  <si>
    <t xml:space="preserve">23.03 </t>
  </si>
  <si>
    <t>23.07228</t>
  </si>
  <si>
    <t>18:1/18:1_FP</t>
  </si>
  <si>
    <t>28.76870</t>
  </si>
  <si>
    <t>18:0/18:2_FP</t>
  </si>
  <si>
    <t>29.13880</t>
  </si>
  <si>
    <t>18:1/18:2_FP</t>
  </si>
  <si>
    <t>27.08855</t>
  </si>
  <si>
    <t>37:0_FP</t>
  </si>
  <si>
    <t>37:0</t>
  </si>
  <si>
    <t>16:0/21:0 21:0/16:0_FP</t>
  </si>
  <si>
    <t>16:0/21:0 21:0/16:0</t>
  </si>
  <si>
    <t>18:1/20:4_FP</t>
  </si>
  <si>
    <t>26.83918</t>
  </si>
  <si>
    <t>40:0_FP</t>
  </si>
  <si>
    <t>40:0</t>
  </si>
  <si>
    <t>18:0/22:0_FP</t>
  </si>
  <si>
    <t>18:0/22:0</t>
  </si>
  <si>
    <t>28.52198</t>
  </si>
  <si>
    <t>22:6/18:2</t>
  </si>
  <si>
    <t xml:space="preserve">20.92 </t>
  </si>
  <si>
    <t>20.95910</t>
  </si>
  <si>
    <t>42:1_FP</t>
  </si>
  <si>
    <t>42:1</t>
  </si>
  <si>
    <t>16:0/26:1 26:1/16:0_FP</t>
  </si>
  <si>
    <t>16:0/26:1 26:1/16:0</t>
  </si>
  <si>
    <t>22.07520 22.07520</t>
  </si>
  <si>
    <t>44:2_FP</t>
  </si>
  <si>
    <t>44:2</t>
  </si>
  <si>
    <t>18:0/26:2_FP</t>
  </si>
  <si>
    <t>18:0/26:2</t>
  </si>
  <si>
    <t>24.27795</t>
  </si>
  <si>
    <t>44:12_FP</t>
  </si>
  <si>
    <t>44:12</t>
  </si>
  <si>
    <t>22:6/22:6_FP</t>
  </si>
  <si>
    <t>22:6/22:6</t>
  </si>
  <si>
    <t>Cer</t>
  </si>
  <si>
    <t>31.8</t>
  </si>
  <si>
    <t>31.73</t>
  </si>
  <si>
    <t>LDA: impossible retention time</t>
  </si>
  <si>
    <t>LDA: removed by MS1 algorithm</t>
  </si>
  <si>
    <t>LB: the spectrum belongs to the second isotopic peak of 36:4</t>
  </si>
  <si>
    <t>23.75143 24.31923</t>
  </si>
  <si>
    <t>LB: the first peak is second isotopic peak 38:4, second one looks good; LDA: removed by MS1 algorithm (+1 isotope)</t>
  </si>
  <si>
    <t>NA</t>
  </si>
  <si>
    <t>LDA: FP</t>
  </si>
  <si>
    <t>LDA: add FP chain</t>
  </si>
  <si>
    <t>LDA; mandatory Carboxy fragment not found for 22:6</t>
  </si>
  <si>
    <t>LB: there are no fragments for this combination</t>
  </si>
  <si>
    <t>LDA: the chains seem to be OK, but the combination is unlikely, since it has not been found by any other method</t>
  </si>
  <si>
    <t>LB: the spectrum belongs to the second isotopic peak of PC 34:1</t>
  </si>
  <si>
    <t>LB: impossible  retention time</t>
  </si>
  <si>
    <t>LB: the spectrum before 27.5min belongs to the second isotopic peak of 36:2</t>
  </si>
  <si>
    <t>LB: the peak seems to be OK, although a little bit late, but the combinations are wrong;  no fragments there and not found in any other platform</t>
  </si>
  <si>
    <t>LB: the peak seems to be OK, although a little bit late, combinations are correct;</t>
  </si>
  <si>
    <t>LB: the spectrum before 27min belongs to the second isotopic peak of PC 38:4</t>
  </si>
  <si>
    <t>LB: the spectrum at 24.6min belongs to the second isotopic peak of PC 38:5; LDA: chain cutoff</t>
  </si>
  <si>
    <t>16:0/22:5_FP</t>
  </si>
  <si>
    <t>LB: the spectrum at 24.8min belongs to the second isotopic peak of PC 38:5</t>
  </si>
  <si>
    <t>LDA: unknown reason</t>
  </si>
  <si>
    <t>LB: spectrum at 26min belongs to PE 40:6</t>
  </si>
  <si>
    <t>LB: there are no 20:3 fragments present; and this combination was not found on any other platform</t>
  </si>
  <si>
    <t>21.03743 26.2527</t>
  </si>
  <si>
    <t>LB: the peak at 21.0 min is not a PC peak</t>
  </si>
  <si>
    <t>LB: this spectrum is fromt he second isotopic peak of PE 34:1</t>
  </si>
  <si>
    <t>LB: the spectrum at 24.4min belongs to the second isotopic peak of PE38:6</t>
  </si>
  <si>
    <t>LDA: chain cutoff</t>
  </si>
  <si>
    <t>LB: this spectrum belongs to PC38:3_-CH3</t>
  </si>
  <si>
    <t>LB: FP - this peak belongs to PC38:4_-CH3</t>
  </si>
  <si>
    <t>40:4_FP</t>
  </si>
  <si>
    <t>LB: this spectrum belongs to the second isotopic peak of PE40:6</t>
  </si>
  <si>
    <t>24.61702 24.83858 25.94870 26.16968</t>
  </si>
  <si>
    <t>LB: spectra before 25min belong to the second isotopic peak of PE40:7</t>
  </si>
  <si>
    <t>18:0/22:4_FP</t>
  </si>
  <si>
    <t>LB: the spectrum at 26.5min belongs to the second isotopic peak of PE38:4</t>
  </si>
  <si>
    <t>LB: impossible retention time</t>
  </si>
  <si>
    <t>LB: this is an isotopic peak of something else</t>
  </si>
  <si>
    <t>LB: this is something else - hardly any peak annotated</t>
  </si>
  <si>
    <t>36:2_FP</t>
  </si>
  <si>
    <t>36:3_FP</t>
  </si>
  <si>
    <t>38:5_FP</t>
  </si>
  <si>
    <t>16:0/20:3_FP</t>
  </si>
  <si>
    <t>LDA: whether 18:1 nor 22:5 fragments are there; nevertheless, this species was found somewhere else -&gt; correct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</si>
  <si>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</si>
  <si>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</si>
  <si>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</si>
  <si>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</si>
  <si>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</si>
  <si>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</si>
  <si>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</si>
  <si>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</si>
  <si>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</si>
  <si>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8/10</t>
  </si>
  <si>
    <t>7/10</t>
  </si>
  <si>
    <t>8/9</t>
  </si>
  <si>
    <t>7/9</t>
  </si>
  <si>
    <t>0/1</t>
  </si>
  <si>
    <t>2/2</t>
  </si>
  <si>
    <t>1/2</t>
  </si>
  <si>
    <t>24/26</t>
  </si>
  <si>
    <t>26/26</t>
  </si>
  <si>
    <t>24/25</t>
  </si>
  <si>
    <t>26/37</t>
  </si>
  <si>
    <t>28/31</t>
  </si>
  <si>
    <t>29/31</t>
  </si>
  <si>
    <t>28/30</t>
  </si>
  <si>
    <t>29/45</t>
  </si>
  <si>
    <t>16/16</t>
  </si>
  <si>
    <t>12/16</t>
  </si>
  <si>
    <t>12/19</t>
  </si>
  <si>
    <t>17/18</t>
  </si>
  <si>
    <t>13/18</t>
  </si>
  <si>
    <t>17/17</t>
  </si>
  <si>
    <t>13/20</t>
  </si>
  <si>
    <t>2/10</t>
  </si>
  <si>
    <t>2/11</t>
  </si>
  <si>
    <t>Total</t>
  </si>
  <si>
    <t>49/77</t>
  </si>
  <si>
    <t>56/63</t>
  </si>
  <si>
    <t>53/88</t>
  </si>
  <si>
    <t>14/15</t>
  </si>
  <si>
    <t>15/15</t>
  </si>
  <si>
    <t>15/21</t>
  </si>
  <si>
    <t>17/19</t>
  </si>
  <si>
    <t>18/19</t>
  </si>
  <si>
    <t>18/30</t>
  </si>
  <si>
    <t>38/61</t>
  </si>
  <si>
    <t>45/51</t>
  </si>
  <si>
    <t>42/51</t>
  </si>
  <si>
    <t>45/50</t>
  </si>
  <si>
    <t>1/1</t>
  </si>
  <si>
    <t>45/48</t>
  </si>
  <si>
    <t>55/58</t>
  </si>
  <si>
    <t>55/59</t>
  </si>
  <si>
    <t>53/63</t>
  </si>
  <si>
    <t>56/61</t>
  </si>
  <si>
    <t>42/73</t>
  </si>
  <si>
    <t>0/2</t>
  </si>
  <si>
    <t>49/59</t>
  </si>
  <si>
    <t>38/48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</si>
</sst>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1" fillId="0" borderId="0" xfId="0" applyNumberFormat="1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/>
    <xf numFmtId="49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D31" sqref="D31"/>
    </sheetView>
  </sheetViews>
  <sheetFormatPr baseColWidth="10" defaultRowHeight="15" x14ac:dyDescent="0.25"/>
  <sheetData>
    <row r="1" spans="1:17" ht="18.75" x14ac:dyDescent="0.3">
      <c r="A1" s="12" t="s">
        <v>456</v>
      </c>
    </row>
    <row r="2" spans="1:17" ht="15.75" x14ac:dyDescent="0.25">
      <c r="A2" s="3"/>
    </row>
    <row r="3" spans="1:17" ht="15.75" x14ac:dyDescent="0.25">
      <c r="B3" s="21" t="s">
        <v>457</v>
      </c>
      <c r="C3" s="21"/>
      <c r="D3" s="21" t="s">
        <v>458</v>
      </c>
      <c r="E3" s="21"/>
      <c r="F3" s="21" t="s">
        <v>459</v>
      </c>
      <c r="G3" s="21"/>
      <c r="H3" s="21" t="s">
        <v>460</v>
      </c>
      <c r="I3" s="21"/>
      <c r="J3" s="21" t="s">
        <v>461</v>
      </c>
      <c r="K3" s="21"/>
      <c r="L3" s="21" t="s">
        <v>462</v>
      </c>
      <c r="M3" s="21"/>
      <c r="N3" s="21" t="s">
        <v>463</v>
      </c>
      <c r="O3" s="21"/>
      <c r="P3" s="21" t="s">
        <v>464</v>
      </c>
      <c r="Q3" s="21"/>
    </row>
    <row r="4" spans="1:17" ht="15.75" x14ac:dyDescent="0.25">
      <c r="A4" s="3" t="s">
        <v>18</v>
      </c>
      <c r="B4" s="13" t="s">
        <v>465</v>
      </c>
      <c r="C4" s="14">
        <f>8/10</f>
        <v>0.8</v>
      </c>
      <c r="D4" s="13" t="s">
        <v>466</v>
      </c>
      <c r="E4" s="14">
        <f>7/10</f>
        <v>0.7</v>
      </c>
      <c r="F4" s="13" t="s">
        <v>467</v>
      </c>
      <c r="G4" s="14">
        <f>8/9</f>
        <v>0.88888888888888884</v>
      </c>
      <c r="H4" s="13" t="s">
        <v>468</v>
      </c>
      <c r="I4" s="14">
        <f>7/9</f>
        <v>0.77777777777777779</v>
      </c>
      <c r="J4" s="13" t="s">
        <v>465</v>
      </c>
      <c r="K4" s="14">
        <f>8/10</f>
        <v>0.8</v>
      </c>
      <c r="L4" s="13" t="s">
        <v>466</v>
      </c>
      <c r="M4" s="14">
        <f>7/10</f>
        <v>0.7</v>
      </c>
      <c r="N4" s="13" t="s">
        <v>467</v>
      </c>
      <c r="O4" s="14">
        <f>8/9</f>
        <v>0.88888888888888884</v>
      </c>
      <c r="P4" s="13" t="s">
        <v>466</v>
      </c>
      <c r="Q4" s="14">
        <f>7/10</f>
        <v>0.7</v>
      </c>
    </row>
    <row r="5" spans="1:17" ht="15.75" x14ac:dyDescent="0.25">
      <c r="A5" s="3" t="s">
        <v>107</v>
      </c>
      <c r="B5" s="13" t="s">
        <v>417</v>
      </c>
      <c r="C5" s="13" t="s">
        <v>417</v>
      </c>
      <c r="D5" s="13" t="s">
        <v>417</v>
      </c>
      <c r="E5" s="13" t="s">
        <v>417</v>
      </c>
      <c r="F5" s="13" t="s">
        <v>469</v>
      </c>
      <c r="G5" s="14">
        <f>0/1</f>
        <v>0</v>
      </c>
      <c r="H5" s="13" t="s">
        <v>417</v>
      </c>
      <c r="I5" s="13" t="s">
        <v>417</v>
      </c>
      <c r="J5" s="13" t="s">
        <v>417</v>
      </c>
      <c r="K5" s="13" t="s">
        <v>417</v>
      </c>
      <c r="L5" s="13" t="s">
        <v>417</v>
      </c>
      <c r="M5" s="13" t="s">
        <v>417</v>
      </c>
      <c r="N5" s="13" t="s">
        <v>469</v>
      </c>
      <c r="O5" s="14">
        <f>0/1</f>
        <v>0</v>
      </c>
      <c r="P5" s="13" t="s">
        <v>417</v>
      </c>
      <c r="Q5" s="13" t="s">
        <v>417</v>
      </c>
    </row>
    <row r="6" spans="1:17" ht="15.75" x14ac:dyDescent="0.25">
      <c r="A6" s="3" t="s">
        <v>113</v>
      </c>
      <c r="B6" s="13" t="s">
        <v>470</v>
      </c>
      <c r="C6" s="14">
        <f>2/2</f>
        <v>1</v>
      </c>
      <c r="D6" s="13" t="s">
        <v>510</v>
      </c>
      <c r="E6" s="14">
        <f>0/2</f>
        <v>0</v>
      </c>
      <c r="F6" s="13" t="s">
        <v>470</v>
      </c>
      <c r="G6" s="14">
        <f>2/2</f>
        <v>1</v>
      </c>
      <c r="H6" s="13" t="s">
        <v>417</v>
      </c>
      <c r="I6" s="13" t="s">
        <v>417</v>
      </c>
      <c r="J6" s="13" t="s">
        <v>417</v>
      </c>
      <c r="K6" s="13" t="s">
        <v>417</v>
      </c>
      <c r="L6" s="13" t="s">
        <v>417</v>
      </c>
      <c r="M6" s="13" t="s">
        <v>417</v>
      </c>
      <c r="N6" s="13" t="s">
        <v>417</v>
      </c>
      <c r="O6" s="13" t="s">
        <v>417</v>
      </c>
      <c r="P6" s="13" t="s">
        <v>417</v>
      </c>
      <c r="Q6" s="13" t="s">
        <v>417</v>
      </c>
    </row>
    <row r="7" spans="1:17" ht="15.75" x14ac:dyDescent="0.25">
      <c r="A7" s="3" t="s">
        <v>120</v>
      </c>
      <c r="B7" s="13" t="s">
        <v>470</v>
      </c>
      <c r="C7" s="14">
        <f>2/2</f>
        <v>1</v>
      </c>
      <c r="D7" s="13" t="s">
        <v>470</v>
      </c>
      <c r="E7" s="14">
        <f t="shared" ref="E7" si="0">2/2</f>
        <v>1</v>
      </c>
      <c r="F7" s="13" t="s">
        <v>470</v>
      </c>
      <c r="G7" s="14">
        <f t="shared" ref="G7" si="1">2/2</f>
        <v>1</v>
      </c>
      <c r="H7" s="13" t="s">
        <v>470</v>
      </c>
      <c r="I7" s="14">
        <f t="shared" ref="I7" si="2">2/2</f>
        <v>1</v>
      </c>
      <c r="J7" s="13" t="s">
        <v>471</v>
      </c>
      <c r="K7" s="14">
        <f>1/2</f>
        <v>0.5</v>
      </c>
      <c r="L7" s="13" t="s">
        <v>470</v>
      </c>
      <c r="M7" s="14">
        <f t="shared" ref="M7" si="3">2/2</f>
        <v>1</v>
      </c>
      <c r="N7" s="13" t="s">
        <v>471</v>
      </c>
      <c r="O7" s="14">
        <f>1/2</f>
        <v>0.5</v>
      </c>
      <c r="P7" s="13" t="s">
        <v>470</v>
      </c>
      <c r="Q7" s="14">
        <f>2/2</f>
        <v>1</v>
      </c>
    </row>
    <row r="8" spans="1:17" ht="15.75" x14ac:dyDescent="0.25">
      <c r="A8" s="3" t="s">
        <v>128</v>
      </c>
      <c r="B8" s="13" t="s">
        <v>472</v>
      </c>
      <c r="C8" s="14">
        <f>24/26</f>
        <v>0.92307692307692313</v>
      </c>
      <c r="D8" s="13" t="s">
        <v>473</v>
      </c>
      <c r="E8" s="14">
        <f>26/26</f>
        <v>1</v>
      </c>
      <c r="F8" s="13" t="s">
        <v>474</v>
      </c>
      <c r="G8" s="14">
        <f>24/25</f>
        <v>0.96</v>
      </c>
      <c r="H8" s="13" t="s">
        <v>475</v>
      </c>
      <c r="I8" s="14">
        <f>26/37</f>
        <v>0.70270270270270274</v>
      </c>
      <c r="J8" s="13" t="s">
        <v>476</v>
      </c>
      <c r="K8" s="14">
        <f>28/31</f>
        <v>0.90322580645161288</v>
      </c>
      <c r="L8" s="13" t="s">
        <v>477</v>
      </c>
      <c r="M8" s="14">
        <f>29/31</f>
        <v>0.93548387096774188</v>
      </c>
      <c r="N8" s="13" t="s">
        <v>478</v>
      </c>
      <c r="O8" s="14">
        <f>28/30</f>
        <v>0.93333333333333335</v>
      </c>
      <c r="P8" s="13" t="s">
        <v>479</v>
      </c>
      <c r="Q8" s="14">
        <f>29/45</f>
        <v>0.64444444444444449</v>
      </c>
    </row>
    <row r="9" spans="1:17" ht="15.75" x14ac:dyDescent="0.25">
      <c r="A9" s="3" t="s">
        <v>321</v>
      </c>
      <c r="B9" s="13" t="s">
        <v>480</v>
      </c>
      <c r="C9" s="14">
        <f>16/16</f>
        <v>1</v>
      </c>
      <c r="D9" s="13" t="s">
        <v>481</v>
      </c>
      <c r="E9" s="14">
        <f>12/16</f>
        <v>0.75</v>
      </c>
      <c r="F9" s="13" t="s">
        <v>480</v>
      </c>
      <c r="G9" s="14">
        <f>16/16</f>
        <v>1</v>
      </c>
      <c r="H9" s="13" t="s">
        <v>482</v>
      </c>
      <c r="I9" s="14">
        <f>12/19</f>
        <v>0.63157894736842102</v>
      </c>
      <c r="J9" s="13" t="s">
        <v>483</v>
      </c>
      <c r="K9" s="14">
        <f>17/18</f>
        <v>0.94444444444444442</v>
      </c>
      <c r="L9" s="13" t="s">
        <v>484</v>
      </c>
      <c r="M9" s="14">
        <f>13/18</f>
        <v>0.72222222222222221</v>
      </c>
      <c r="N9" s="13" t="s">
        <v>485</v>
      </c>
      <c r="O9" s="14">
        <f>17/17</f>
        <v>1</v>
      </c>
      <c r="P9" s="13" t="s">
        <v>486</v>
      </c>
      <c r="Q9" s="14">
        <f>13/20</f>
        <v>0.65</v>
      </c>
    </row>
    <row r="10" spans="1:17" ht="15.75" x14ac:dyDescent="0.25">
      <c r="A10" s="3" t="s">
        <v>371</v>
      </c>
      <c r="B10" s="13" t="s">
        <v>470</v>
      </c>
      <c r="C10" s="14">
        <f>2/2</f>
        <v>1</v>
      </c>
      <c r="D10" s="13" t="s">
        <v>470</v>
      </c>
      <c r="E10" s="14">
        <f>2/2</f>
        <v>1</v>
      </c>
      <c r="F10" s="13" t="s">
        <v>470</v>
      </c>
      <c r="G10" s="14">
        <f>2/2</f>
        <v>1</v>
      </c>
      <c r="H10" s="13" t="s">
        <v>487</v>
      </c>
      <c r="I10" s="14">
        <f>2/10</f>
        <v>0.2</v>
      </c>
      <c r="J10" s="13" t="s">
        <v>470</v>
      </c>
      <c r="K10" s="14">
        <f>2/2</f>
        <v>1</v>
      </c>
      <c r="L10" s="13" t="s">
        <v>470</v>
      </c>
      <c r="M10" s="14">
        <f>2/2</f>
        <v>1</v>
      </c>
      <c r="N10" s="13" t="s">
        <v>470</v>
      </c>
      <c r="O10" s="14">
        <f>2/2</f>
        <v>1</v>
      </c>
      <c r="P10" s="13" t="s">
        <v>488</v>
      </c>
      <c r="Q10" s="14">
        <f>2/11</f>
        <v>0.18181818181818182</v>
      </c>
    </row>
    <row r="11" spans="1:17" ht="15.75" x14ac:dyDescent="0.25">
      <c r="A11" s="3" t="s">
        <v>409</v>
      </c>
      <c r="B11" s="13" t="s">
        <v>503</v>
      </c>
      <c r="C11" s="14">
        <f>1/1</f>
        <v>1</v>
      </c>
      <c r="D11" s="17" t="s">
        <v>469</v>
      </c>
      <c r="E11" s="14">
        <f>0/1</f>
        <v>0</v>
      </c>
      <c r="F11" s="13" t="s">
        <v>503</v>
      </c>
      <c r="G11" s="14">
        <f>1/1</f>
        <v>1</v>
      </c>
      <c r="H11" s="13" t="s">
        <v>417</v>
      </c>
      <c r="I11" s="13" t="s">
        <v>417</v>
      </c>
      <c r="J11" s="13" t="s">
        <v>417</v>
      </c>
      <c r="K11" s="13" t="s">
        <v>417</v>
      </c>
      <c r="L11" s="13" t="s">
        <v>417</v>
      </c>
      <c r="M11" s="13" t="s">
        <v>417</v>
      </c>
      <c r="N11" s="13" t="s">
        <v>417</v>
      </c>
      <c r="O11" s="13" t="s">
        <v>417</v>
      </c>
      <c r="P11" s="13" t="s">
        <v>417</v>
      </c>
      <c r="Q11" s="13" t="s">
        <v>417</v>
      </c>
    </row>
    <row r="12" spans="1:17" x14ac:dyDescent="0.25">
      <c r="B12" s="16"/>
      <c r="C12" s="15"/>
      <c r="D12" s="17"/>
      <c r="E12" s="17"/>
      <c r="F12" s="17"/>
      <c r="G12" s="17"/>
      <c r="H12" s="17"/>
      <c r="I12" s="17"/>
      <c r="J12" s="15"/>
      <c r="K12" s="15"/>
      <c r="L12" s="15"/>
      <c r="M12" s="15"/>
      <c r="N12" s="15"/>
      <c r="O12" s="15"/>
      <c r="P12" s="16"/>
      <c r="Q12" s="15"/>
    </row>
    <row r="13" spans="1:17" ht="15.75" x14ac:dyDescent="0.25">
      <c r="A13" s="3" t="s">
        <v>489</v>
      </c>
      <c r="B13" s="13" t="s">
        <v>506</v>
      </c>
      <c r="C13" s="14">
        <f>55/59</f>
        <v>0.93220338983050843</v>
      </c>
      <c r="D13" s="13" t="s">
        <v>511</v>
      </c>
      <c r="E13" s="14">
        <f>49/57</f>
        <v>0.85964912280701755</v>
      </c>
      <c r="F13" s="13" t="s">
        <v>505</v>
      </c>
      <c r="G13" s="14">
        <f>55/58</f>
        <v>0.94827586206896552</v>
      </c>
      <c r="H13" s="13" t="s">
        <v>490</v>
      </c>
      <c r="I13" s="14">
        <f>49/77</f>
        <v>0.63636363636363635</v>
      </c>
      <c r="J13" s="13" t="s">
        <v>491</v>
      </c>
      <c r="K13" s="14">
        <f>56/63</f>
        <v>0.88888888888888884</v>
      </c>
      <c r="L13" s="13" t="s">
        <v>507</v>
      </c>
      <c r="M13" s="14">
        <f>53/63</f>
        <v>0.84126984126984128</v>
      </c>
      <c r="N13" s="13" t="s">
        <v>508</v>
      </c>
      <c r="O13" s="14">
        <f>56/61</f>
        <v>0.91803278688524592</v>
      </c>
      <c r="P13" s="13" t="s">
        <v>492</v>
      </c>
      <c r="Q13" s="14">
        <f>53/88</f>
        <v>0.60227272727272729</v>
      </c>
    </row>
    <row r="14" spans="1:17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18"/>
    </row>
    <row r="15" spans="1:17" x14ac:dyDescent="0.25">
      <c r="P15" s="19"/>
      <c r="Q15" s="18"/>
    </row>
    <row r="16" spans="1:17" x14ac:dyDescent="0.25">
      <c r="P16" s="19"/>
      <c r="Q16" s="18"/>
    </row>
    <row r="17" spans="1:17" x14ac:dyDescent="0.25">
      <c r="P17" s="19"/>
      <c r="Q17" s="18"/>
    </row>
    <row r="18" spans="1:17" ht="18.75" x14ac:dyDescent="0.3">
      <c r="A18" s="12" t="s">
        <v>78</v>
      </c>
      <c r="P18" s="19"/>
      <c r="Q18" s="18"/>
    </row>
    <row r="19" spans="1:17" x14ac:dyDescent="0.25">
      <c r="P19" s="20"/>
    </row>
    <row r="20" spans="1:17" ht="15.75" x14ac:dyDescent="0.25">
      <c r="B20" s="21" t="s">
        <v>457</v>
      </c>
      <c r="C20" s="21"/>
      <c r="D20" s="21" t="s">
        <v>458</v>
      </c>
      <c r="E20" s="21"/>
      <c r="F20" s="21" t="s">
        <v>459</v>
      </c>
      <c r="G20" s="21"/>
      <c r="H20" s="21" t="s">
        <v>460</v>
      </c>
      <c r="I20" s="21"/>
      <c r="J20" s="21" t="s">
        <v>461</v>
      </c>
      <c r="K20" s="21"/>
      <c r="L20" s="21" t="s">
        <v>462</v>
      </c>
      <c r="M20" s="21"/>
      <c r="N20" s="21" t="s">
        <v>463</v>
      </c>
      <c r="O20" s="21"/>
      <c r="P20" s="21" t="s">
        <v>464</v>
      </c>
      <c r="Q20" s="21"/>
    </row>
    <row r="21" spans="1:17" ht="15.75" x14ac:dyDescent="0.25">
      <c r="A21" s="3" t="s">
        <v>18</v>
      </c>
      <c r="B21" s="13" t="s">
        <v>465</v>
      </c>
      <c r="C21" s="14">
        <f>8/10</f>
        <v>0.8</v>
      </c>
      <c r="D21" s="13" t="s">
        <v>466</v>
      </c>
      <c r="E21" s="14">
        <f>7/10</f>
        <v>0.7</v>
      </c>
      <c r="F21" s="13" t="s">
        <v>467</v>
      </c>
      <c r="G21" s="14">
        <f>8/9</f>
        <v>0.88888888888888884</v>
      </c>
      <c r="H21" s="13" t="s">
        <v>468</v>
      </c>
      <c r="I21" s="14">
        <f>7/9</f>
        <v>0.77777777777777779</v>
      </c>
      <c r="J21" s="13" t="s">
        <v>465</v>
      </c>
      <c r="K21" s="14">
        <f>8/10</f>
        <v>0.8</v>
      </c>
      <c r="L21" s="13" t="s">
        <v>466</v>
      </c>
      <c r="M21" s="14">
        <f>7/10</f>
        <v>0.7</v>
      </c>
      <c r="N21" s="13" t="s">
        <v>467</v>
      </c>
      <c r="O21" s="14">
        <f>8/9</f>
        <v>0.88888888888888884</v>
      </c>
      <c r="P21" s="13" t="s">
        <v>466</v>
      </c>
      <c r="Q21" s="14">
        <f>7/10</f>
        <v>0.7</v>
      </c>
    </row>
    <row r="22" spans="1:17" ht="15.75" x14ac:dyDescent="0.25">
      <c r="A22" s="3" t="s">
        <v>107</v>
      </c>
      <c r="B22" s="13" t="s">
        <v>417</v>
      </c>
      <c r="C22" s="13" t="s">
        <v>417</v>
      </c>
      <c r="D22" s="13" t="s">
        <v>417</v>
      </c>
      <c r="E22" s="13" t="s">
        <v>417</v>
      </c>
      <c r="F22" s="13" t="s">
        <v>469</v>
      </c>
      <c r="G22" s="14">
        <f>0/1</f>
        <v>0</v>
      </c>
      <c r="H22" s="13" t="s">
        <v>417</v>
      </c>
      <c r="I22" s="13" t="s">
        <v>417</v>
      </c>
      <c r="J22" s="13" t="s">
        <v>417</v>
      </c>
      <c r="K22" s="13" t="s">
        <v>417</v>
      </c>
      <c r="L22" s="13" t="s">
        <v>417</v>
      </c>
      <c r="M22" s="13" t="s">
        <v>417</v>
      </c>
      <c r="N22" s="13" t="s">
        <v>469</v>
      </c>
      <c r="O22" s="14">
        <f>0/1</f>
        <v>0</v>
      </c>
      <c r="P22" s="13" t="s">
        <v>417</v>
      </c>
      <c r="Q22" s="13" t="s">
        <v>417</v>
      </c>
    </row>
    <row r="23" spans="1:17" ht="15.75" x14ac:dyDescent="0.25">
      <c r="A23" s="3" t="s">
        <v>113</v>
      </c>
      <c r="B23" s="13" t="s">
        <v>470</v>
      </c>
      <c r="C23" s="14">
        <f>2/2</f>
        <v>1</v>
      </c>
      <c r="D23" s="13" t="s">
        <v>510</v>
      </c>
      <c r="E23" s="14">
        <f>0/2</f>
        <v>0</v>
      </c>
      <c r="F23" s="13" t="s">
        <v>470</v>
      </c>
      <c r="G23" s="14">
        <f>2/2</f>
        <v>1</v>
      </c>
      <c r="H23" s="13" t="s">
        <v>417</v>
      </c>
      <c r="I23" s="13" t="s">
        <v>417</v>
      </c>
      <c r="J23" s="13" t="s">
        <v>417</v>
      </c>
      <c r="K23" s="13" t="s">
        <v>417</v>
      </c>
      <c r="L23" s="13" t="s">
        <v>417</v>
      </c>
      <c r="M23" s="13" t="s">
        <v>417</v>
      </c>
      <c r="N23" s="13" t="s">
        <v>417</v>
      </c>
      <c r="O23" s="13" t="s">
        <v>417</v>
      </c>
      <c r="P23" s="13" t="s">
        <v>417</v>
      </c>
      <c r="Q23" s="13" t="s">
        <v>417</v>
      </c>
    </row>
    <row r="24" spans="1:17" ht="15.75" x14ac:dyDescent="0.25">
      <c r="A24" s="3" t="s">
        <v>120</v>
      </c>
      <c r="B24" s="13" t="s">
        <v>470</v>
      </c>
      <c r="C24" s="14">
        <f>2/2</f>
        <v>1</v>
      </c>
      <c r="D24" s="13" t="s">
        <v>470</v>
      </c>
      <c r="E24" s="14">
        <f t="shared" ref="E24" si="4">2/2</f>
        <v>1</v>
      </c>
      <c r="F24" s="13" t="s">
        <v>470</v>
      </c>
      <c r="G24" s="14">
        <f t="shared" ref="G24" si="5">2/2</f>
        <v>1</v>
      </c>
      <c r="H24" s="13" t="s">
        <v>470</v>
      </c>
      <c r="I24" s="14">
        <f t="shared" ref="I24" si="6">2/2</f>
        <v>1</v>
      </c>
      <c r="J24" s="13" t="s">
        <v>471</v>
      </c>
      <c r="K24" s="14">
        <f>1/2</f>
        <v>0.5</v>
      </c>
      <c r="L24" s="13" t="s">
        <v>470</v>
      </c>
      <c r="M24" s="14">
        <f t="shared" ref="M24" si="7">2/2</f>
        <v>1</v>
      </c>
      <c r="N24" s="13" t="s">
        <v>471</v>
      </c>
      <c r="O24" s="14">
        <f>1/2</f>
        <v>0.5</v>
      </c>
      <c r="P24" s="13" t="s">
        <v>470</v>
      </c>
      <c r="Q24" s="14">
        <f>2/2</f>
        <v>1</v>
      </c>
    </row>
    <row r="25" spans="1:17" ht="15.75" x14ac:dyDescent="0.25">
      <c r="A25" s="3" t="s">
        <v>128</v>
      </c>
      <c r="B25" s="13" t="s">
        <v>493</v>
      </c>
      <c r="C25" s="14">
        <f>14/15</f>
        <v>0.93333333333333335</v>
      </c>
      <c r="D25" s="13" t="s">
        <v>494</v>
      </c>
      <c r="E25" s="14">
        <f>15/15</f>
        <v>1</v>
      </c>
      <c r="F25" s="13" t="s">
        <v>493</v>
      </c>
      <c r="G25" s="14">
        <f>14/15</f>
        <v>0.93333333333333335</v>
      </c>
      <c r="H25" s="13" t="s">
        <v>495</v>
      </c>
      <c r="I25" s="14">
        <f>15/21</f>
        <v>0.7142857142857143</v>
      </c>
      <c r="J25" s="13" t="s">
        <v>496</v>
      </c>
      <c r="K25" s="14">
        <f>17/19</f>
        <v>0.89473684210526316</v>
      </c>
      <c r="L25" s="13" t="s">
        <v>497</v>
      </c>
      <c r="M25" s="14">
        <f>18/19</f>
        <v>0.94736842105263153</v>
      </c>
      <c r="N25" s="13" t="s">
        <v>496</v>
      </c>
      <c r="O25" s="14">
        <f>17/19</f>
        <v>0.89473684210526316</v>
      </c>
      <c r="P25" s="13" t="s">
        <v>498</v>
      </c>
      <c r="Q25" s="14">
        <f>18/30</f>
        <v>0.6</v>
      </c>
    </row>
    <row r="26" spans="1:17" ht="15.75" x14ac:dyDescent="0.25">
      <c r="A26" s="3" t="s">
        <v>321</v>
      </c>
      <c r="B26" s="13" t="s">
        <v>480</v>
      </c>
      <c r="C26" s="14">
        <f>16/16</f>
        <v>1</v>
      </c>
      <c r="D26" s="13" t="s">
        <v>481</v>
      </c>
      <c r="E26" s="14">
        <f>12/16</f>
        <v>0.75</v>
      </c>
      <c r="F26" s="13" t="s">
        <v>480</v>
      </c>
      <c r="G26" s="14">
        <f>16/16</f>
        <v>1</v>
      </c>
      <c r="H26" s="13" t="s">
        <v>482</v>
      </c>
      <c r="I26" s="14">
        <f>12/19</f>
        <v>0.63157894736842102</v>
      </c>
      <c r="J26" s="13" t="s">
        <v>483</v>
      </c>
      <c r="K26" s="14">
        <f>17/18</f>
        <v>0.94444444444444442</v>
      </c>
      <c r="L26" s="13" t="s">
        <v>484</v>
      </c>
      <c r="M26" s="14">
        <f>13/18</f>
        <v>0.72222222222222221</v>
      </c>
      <c r="N26" s="13" t="s">
        <v>485</v>
      </c>
      <c r="O26" s="14">
        <f>17/17</f>
        <v>1</v>
      </c>
      <c r="P26" s="13" t="s">
        <v>486</v>
      </c>
      <c r="Q26" s="14">
        <f>13/20</f>
        <v>0.65</v>
      </c>
    </row>
    <row r="27" spans="1:17" ht="15.75" x14ac:dyDescent="0.25">
      <c r="A27" s="3" t="s">
        <v>371</v>
      </c>
      <c r="B27" s="13" t="s">
        <v>470</v>
      </c>
      <c r="C27" s="14">
        <f>2/2</f>
        <v>1</v>
      </c>
      <c r="D27" s="13" t="s">
        <v>470</v>
      </c>
      <c r="E27" s="14">
        <f>2/2</f>
        <v>1</v>
      </c>
      <c r="F27" s="13" t="s">
        <v>470</v>
      </c>
      <c r="G27" s="14">
        <f>2/2</f>
        <v>1</v>
      </c>
      <c r="H27" s="13" t="s">
        <v>487</v>
      </c>
      <c r="I27" s="14">
        <f>2/10</f>
        <v>0.2</v>
      </c>
      <c r="J27" s="13" t="s">
        <v>470</v>
      </c>
      <c r="K27" s="14">
        <f>2/2</f>
        <v>1</v>
      </c>
      <c r="L27" s="13" t="s">
        <v>470</v>
      </c>
      <c r="M27" s="14">
        <f>2/2</f>
        <v>1</v>
      </c>
      <c r="N27" s="13" t="s">
        <v>470</v>
      </c>
      <c r="O27" s="14">
        <f>2/2</f>
        <v>1</v>
      </c>
      <c r="P27" s="13" t="s">
        <v>488</v>
      </c>
      <c r="Q27" s="14">
        <f>2/11</f>
        <v>0.18181818181818182</v>
      </c>
    </row>
    <row r="28" spans="1:17" ht="15.75" x14ac:dyDescent="0.25">
      <c r="A28" s="3" t="s">
        <v>409</v>
      </c>
      <c r="B28" s="13" t="s">
        <v>503</v>
      </c>
      <c r="C28" s="14">
        <f>1/1</f>
        <v>1</v>
      </c>
      <c r="D28" s="17" t="s">
        <v>469</v>
      </c>
      <c r="E28" s="14">
        <f>0/1</f>
        <v>0</v>
      </c>
      <c r="F28" s="13" t="s">
        <v>503</v>
      </c>
      <c r="G28" s="14">
        <f>1/1</f>
        <v>1</v>
      </c>
      <c r="H28" s="13" t="s">
        <v>417</v>
      </c>
      <c r="I28" s="13" t="s">
        <v>417</v>
      </c>
      <c r="J28" s="13" t="s">
        <v>417</v>
      </c>
      <c r="K28" s="13" t="s">
        <v>417</v>
      </c>
      <c r="L28" s="13" t="s">
        <v>417</v>
      </c>
      <c r="M28" s="13" t="s">
        <v>417</v>
      </c>
      <c r="N28" s="13" t="s">
        <v>417</v>
      </c>
      <c r="O28" s="13" t="s">
        <v>417</v>
      </c>
      <c r="P28" s="13" t="s">
        <v>417</v>
      </c>
      <c r="Q28" s="13" t="s">
        <v>417</v>
      </c>
    </row>
    <row r="29" spans="1:17" x14ac:dyDescent="0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6"/>
      <c r="Q29" s="15"/>
    </row>
    <row r="30" spans="1:17" ht="15.75" x14ac:dyDescent="0.25">
      <c r="A30" s="3" t="s">
        <v>489</v>
      </c>
      <c r="B30" s="13" t="s">
        <v>504</v>
      </c>
      <c r="C30" s="14">
        <f>45/48</f>
        <v>0.9375</v>
      </c>
      <c r="D30" s="13" t="s">
        <v>512</v>
      </c>
      <c r="E30" s="14">
        <f>38/46</f>
        <v>0.82608695652173914</v>
      </c>
      <c r="F30" s="13" t="s">
        <v>504</v>
      </c>
      <c r="G30" s="14">
        <f>45/48</f>
        <v>0.9375</v>
      </c>
      <c r="H30" s="13" t="s">
        <v>499</v>
      </c>
      <c r="I30" s="14">
        <f>38/61</f>
        <v>0.62295081967213117</v>
      </c>
      <c r="J30" s="13" t="s">
        <v>500</v>
      </c>
      <c r="K30" s="14">
        <f>45/51</f>
        <v>0.88235294117647056</v>
      </c>
      <c r="L30" s="13" t="s">
        <v>501</v>
      </c>
      <c r="M30" s="14">
        <f>42/51</f>
        <v>0.82352941176470584</v>
      </c>
      <c r="N30" s="13" t="s">
        <v>502</v>
      </c>
      <c r="O30" s="14">
        <f>45/50</f>
        <v>0.9</v>
      </c>
      <c r="P30" s="13" t="s">
        <v>509</v>
      </c>
      <c r="Q30" s="14">
        <f>42/73</f>
        <v>0.57534246575342463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topLeftCell="A13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H2" s="5" t="s">
        <v>23</v>
      </c>
      <c r="I2" s="5" t="s">
        <v>24</v>
      </c>
      <c r="J2" t="s">
        <v>17</v>
      </c>
      <c r="K2" s="5">
        <v>-2</v>
      </c>
      <c r="L2">
        <v>0</v>
      </c>
      <c r="M2" t="s">
        <v>17</v>
      </c>
      <c r="N2" t="s">
        <v>25</v>
      </c>
      <c r="O2" t="s">
        <v>17</v>
      </c>
      <c r="Q2" t="s">
        <v>412</v>
      </c>
    </row>
    <row r="3" spans="1:21" x14ac:dyDescent="0.25">
      <c r="A3" t="s">
        <v>18</v>
      </c>
      <c r="B3" s="1" t="s">
        <v>26</v>
      </c>
      <c r="C3" t="s">
        <v>20</v>
      </c>
      <c r="D3" s="5" t="s">
        <v>22</v>
      </c>
      <c r="E3" s="1" t="s">
        <v>26</v>
      </c>
      <c r="F3" s="5">
        <v>-1</v>
      </c>
      <c r="G3" s="1">
        <v>2</v>
      </c>
      <c r="H3" s="1" t="s">
        <v>27</v>
      </c>
      <c r="I3" s="5" t="s">
        <v>22</v>
      </c>
      <c r="J3" s="1" t="s">
        <v>27</v>
      </c>
      <c r="K3" s="5">
        <v>-1</v>
      </c>
      <c r="L3" s="1">
        <v>2</v>
      </c>
      <c r="M3" t="s">
        <v>28</v>
      </c>
      <c r="N3" t="s">
        <v>17</v>
      </c>
      <c r="O3" t="s">
        <v>29</v>
      </c>
      <c r="P3">
        <v>8.3000000000000007</v>
      </c>
      <c r="Q3" t="s">
        <v>413</v>
      </c>
    </row>
    <row r="4" spans="1:21" x14ac:dyDescent="0.25">
      <c r="A4" t="s">
        <v>18</v>
      </c>
      <c r="B4" s="5" t="s">
        <v>30</v>
      </c>
      <c r="C4" t="s">
        <v>20</v>
      </c>
      <c r="D4" t="s">
        <v>22</v>
      </c>
      <c r="E4" s="5" t="s">
        <v>31</v>
      </c>
      <c r="F4">
        <v>0</v>
      </c>
      <c r="G4" s="5">
        <v>-2</v>
      </c>
      <c r="H4" s="5" t="s">
        <v>32</v>
      </c>
      <c r="I4" t="s">
        <v>22</v>
      </c>
      <c r="J4" s="5" t="s">
        <v>33</v>
      </c>
      <c r="K4">
        <v>0</v>
      </c>
      <c r="L4" s="5">
        <v>-2</v>
      </c>
      <c r="M4" t="s">
        <v>17</v>
      </c>
      <c r="N4" t="s">
        <v>17</v>
      </c>
      <c r="O4" t="s">
        <v>34</v>
      </c>
      <c r="P4">
        <v>59.3</v>
      </c>
      <c r="Q4" t="s">
        <v>412</v>
      </c>
    </row>
    <row r="5" spans="1:21" x14ac:dyDescent="0.25">
      <c r="A5" t="s">
        <v>18</v>
      </c>
      <c r="B5" s="1" t="s">
        <v>35</v>
      </c>
      <c r="C5" t="s">
        <v>20</v>
      </c>
      <c r="D5" s="1" t="s">
        <v>35</v>
      </c>
      <c r="E5" s="5" t="s">
        <v>22</v>
      </c>
      <c r="F5" s="1">
        <v>2</v>
      </c>
      <c r="G5" s="5">
        <v>-1</v>
      </c>
      <c r="H5" s="1" t="s">
        <v>36</v>
      </c>
      <c r="I5" s="1" t="s">
        <v>36</v>
      </c>
      <c r="J5" s="5" t="s">
        <v>22</v>
      </c>
      <c r="K5" s="1">
        <v>2</v>
      </c>
      <c r="L5" s="5">
        <v>-1</v>
      </c>
      <c r="M5" t="s">
        <v>37</v>
      </c>
      <c r="N5" t="s">
        <v>38</v>
      </c>
      <c r="O5" t="s">
        <v>17</v>
      </c>
    </row>
    <row r="6" spans="1:21" x14ac:dyDescent="0.25">
      <c r="A6" t="s">
        <v>18</v>
      </c>
      <c r="B6" s="1" t="s">
        <v>39</v>
      </c>
      <c r="C6" t="s">
        <v>20</v>
      </c>
      <c r="D6" s="1" t="s">
        <v>39</v>
      </c>
      <c r="E6" s="1" t="s">
        <v>39</v>
      </c>
      <c r="F6" s="1">
        <v>2</v>
      </c>
      <c r="G6" s="5">
        <v>-3</v>
      </c>
      <c r="H6" s="1" t="s">
        <v>40</v>
      </c>
      <c r="I6" s="1" t="s">
        <v>40</v>
      </c>
      <c r="J6" s="5" t="s">
        <v>22</v>
      </c>
      <c r="K6" s="1">
        <v>2</v>
      </c>
      <c r="L6" s="5">
        <v>-1</v>
      </c>
      <c r="M6" t="s">
        <v>41</v>
      </c>
      <c r="N6" t="s">
        <v>42</v>
      </c>
      <c r="O6" t="s">
        <v>17</v>
      </c>
    </row>
    <row r="7" spans="1:21" x14ac:dyDescent="0.25">
      <c r="H7" s="5" t="s">
        <v>454</v>
      </c>
      <c r="I7" t="s">
        <v>22</v>
      </c>
      <c r="J7" s="5" t="s">
        <v>43</v>
      </c>
      <c r="K7">
        <v>0</v>
      </c>
      <c r="L7" s="5">
        <v>-2</v>
      </c>
      <c r="M7" t="s">
        <v>41</v>
      </c>
      <c r="N7" t="s">
        <v>17</v>
      </c>
      <c r="O7" t="s">
        <v>44</v>
      </c>
      <c r="P7">
        <v>8.6999999999999993</v>
      </c>
      <c r="Q7" t="s">
        <v>414</v>
      </c>
    </row>
    <row r="8" spans="1:21" x14ac:dyDescent="0.25">
      <c r="A8" t="s">
        <v>18</v>
      </c>
      <c r="B8" s="1" t="s">
        <v>45</v>
      </c>
      <c r="C8" t="s">
        <v>20</v>
      </c>
      <c r="D8" s="1" t="s">
        <v>45</v>
      </c>
      <c r="E8" s="1" t="s">
        <v>45</v>
      </c>
      <c r="F8" s="1">
        <v>2</v>
      </c>
      <c r="G8" s="1">
        <v>2</v>
      </c>
      <c r="H8" s="1" t="s">
        <v>46</v>
      </c>
      <c r="I8" s="1" t="s">
        <v>46</v>
      </c>
      <c r="J8" s="1" t="s">
        <v>46</v>
      </c>
      <c r="K8" s="1">
        <v>2</v>
      </c>
      <c r="L8" s="1">
        <v>2</v>
      </c>
      <c r="M8" t="s">
        <v>47</v>
      </c>
      <c r="N8" t="s">
        <v>48</v>
      </c>
      <c r="O8" t="s">
        <v>49</v>
      </c>
      <c r="P8">
        <v>16.100000000000001</v>
      </c>
    </row>
    <row r="9" spans="1:21" x14ac:dyDescent="0.25">
      <c r="A9" t="s">
        <v>18</v>
      </c>
      <c r="B9" s="1" t="s">
        <v>50</v>
      </c>
      <c r="C9" t="s">
        <v>20</v>
      </c>
      <c r="D9" s="1" t="s">
        <v>50</v>
      </c>
      <c r="E9" s="5" t="s">
        <v>22</v>
      </c>
      <c r="F9" s="1">
        <v>2</v>
      </c>
      <c r="G9" s="5">
        <v>-1</v>
      </c>
      <c r="M9" t="s">
        <v>51</v>
      </c>
      <c r="N9" t="s">
        <v>52</v>
      </c>
      <c r="O9" t="s">
        <v>17</v>
      </c>
    </row>
    <row r="10" spans="1:21" x14ac:dyDescent="0.25">
      <c r="A10" t="s">
        <v>18</v>
      </c>
      <c r="B10" s="1" t="s">
        <v>53</v>
      </c>
      <c r="C10" t="s">
        <v>20</v>
      </c>
      <c r="D10" s="1" t="s">
        <v>53</v>
      </c>
      <c r="E10" s="1" t="s">
        <v>53</v>
      </c>
      <c r="F10" s="1">
        <v>2</v>
      </c>
      <c r="G10" s="1">
        <v>2</v>
      </c>
      <c r="H10" s="1" t="s">
        <v>54</v>
      </c>
      <c r="I10" s="1" t="s">
        <v>54</v>
      </c>
      <c r="J10" s="1" t="s">
        <v>54</v>
      </c>
      <c r="K10" s="1">
        <v>2</v>
      </c>
      <c r="L10" s="1">
        <v>2</v>
      </c>
      <c r="M10" t="s">
        <v>55</v>
      </c>
      <c r="N10" t="s">
        <v>56</v>
      </c>
      <c r="O10" t="s">
        <v>57</v>
      </c>
      <c r="P10">
        <v>16.7</v>
      </c>
    </row>
    <row r="11" spans="1:21" x14ac:dyDescent="0.25">
      <c r="A11" t="s">
        <v>18</v>
      </c>
      <c r="B11" s="9" t="s">
        <v>58</v>
      </c>
      <c r="C11" t="s">
        <v>20</v>
      </c>
      <c r="D11" s="5" t="s">
        <v>22</v>
      </c>
      <c r="E11" s="1" t="s">
        <v>58</v>
      </c>
      <c r="F11" s="5">
        <v>-1</v>
      </c>
      <c r="G11" s="1">
        <v>2</v>
      </c>
      <c r="H11" s="1" t="s">
        <v>227</v>
      </c>
      <c r="I11" s="5" t="s">
        <v>22</v>
      </c>
      <c r="J11" s="6" t="s">
        <v>59</v>
      </c>
      <c r="K11" s="5">
        <v>-1</v>
      </c>
      <c r="L11" s="6">
        <v>1</v>
      </c>
      <c r="M11" t="s">
        <v>17</v>
      </c>
      <c r="N11" t="s">
        <v>17</v>
      </c>
      <c r="O11" t="s">
        <v>415</v>
      </c>
      <c r="P11">
        <v>25</v>
      </c>
      <c r="Q11" t="s">
        <v>416</v>
      </c>
    </row>
    <row r="12" spans="1:21" x14ac:dyDescent="0.25">
      <c r="A12" t="s">
        <v>18</v>
      </c>
      <c r="B12" s="1" t="s">
        <v>60</v>
      </c>
      <c r="C12" t="s">
        <v>20</v>
      </c>
      <c r="D12" s="1" t="s">
        <v>60</v>
      </c>
      <c r="E12" s="1" t="s">
        <v>60</v>
      </c>
      <c r="F12" s="1">
        <v>2</v>
      </c>
      <c r="G12" s="1">
        <v>2</v>
      </c>
      <c r="H12" s="1" t="s">
        <v>61</v>
      </c>
      <c r="I12" s="1" t="s">
        <v>61</v>
      </c>
      <c r="J12" s="1" t="s">
        <v>61</v>
      </c>
      <c r="K12" s="1">
        <v>2</v>
      </c>
      <c r="L12" s="1">
        <v>2</v>
      </c>
      <c r="M12" t="s">
        <v>62</v>
      </c>
      <c r="N12" t="s">
        <v>38</v>
      </c>
      <c r="O12" t="s">
        <v>63</v>
      </c>
      <c r="P12">
        <v>16.7</v>
      </c>
    </row>
    <row r="13" spans="1:21" x14ac:dyDescent="0.25">
      <c r="A13" t="s">
        <v>18</v>
      </c>
      <c r="B13" s="1" t="s">
        <v>64</v>
      </c>
      <c r="C13" t="s">
        <v>20</v>
      </c>
      <c r="D13" s="1" t="s">
        <v>64</v>
      </c>
      <c r="E13" s="1" t="s">
        <v>64</v>
      </c>
      <c r="F13" s="1">
        <v>2</v>
      </c>
      <c r="G13" s="1">
        <v>2</v>
      </c>
      <c r="H13" s="1" t="s">
        <v>65</v>
      </c>
      <c r="I13" s="1" t="s">
        <v>65</v>
      </c>
      <c r="J13" s="1" t="s">
        <v>65</v>
      </c>
      <c r="K13" s="1">
        <v>2</v>
      </c>
      <c r="L13" s="1">
        <v>2</v>
      </c>
      <c r="M13" t="s">
        <v>66</v>
      </c>
      <c r="N13" t="s">
        <v>67</v>
      </c>
      <c r="O13" t="s">
        <v>68</v>
      </c>
      <c r="P13">
        <v>1.9</v>
      </c>
    </row>
    <row r="14" spans="1:21" x14ac:dyDescent="0.25">
      <c r="H14" s="1" t="s">
        <v>69</v>
      </c>
      <c r="I14" s="1" t="s">
        <v>70</v>
      </c>
      <c r="J14" s="5" t="s">
        <v>22</v>
      </c>
      <c r="K14" s="1">
        <v>2</v>
      </c>
      <c r="L14" s="5">
        <v>-1</v>
      </c>
      <c r="M14" t="s">
        <v>66</v>
      </c>
      <c r="N14" t="s">
        <v>67</v>
      </c>
      <c r="O14" t="s">
        <v>17</v>
      </c>
    </row>
    <row r="15" spans="1:21" x14ac:dyDescent="0.25">
      <c r="A15" t="s">
        <v>18</v>
      </c>
      <c r="B15" s="1" t="s">
        <v>71</v>
      </c>
      <c r="C15" t="s">
        <v>20</v>
      </c>
      <c r="D15" s="1" t="s">
        <v>71</v>
      </c>
      <c r="E15" s="1" t="s">
        <v>71</v>
      </c>
      <c r="F15" s="1">
        <v>2</v>
      </c>
      <c r="G15" s="1">
        <v>2</v>
      </c>
      <c r="H15" s="1" t="s">
        <v>72</v>
      </c>
      <c r="I15" s="1" t="s">
        <v>72</v>
      </c>
      <c r="J15" s="1" t="s">
        <v>73</v>
      </c>
      <c r="K15" s="1">
        <v>2</v>
      </c>
      <c r="L15" s="1">
        <v>2</v>
      </c>
      <c r="M15" t="s">
        <v>74</v>
      </c>
      <c r="N15" t="s">
        <v>75</v>
      </c>
      <c r="O15" t="s">
        <v>76</v>
      </c>
      <c r="P15">
        <v>50</v>
      </c>
    </row>
    <row r="18" spans="1:11" ht="15.75" x14ac:dyDescent="0.25">
      <c r="A18" s="3" t="s">
        <v>77</v>
      </c>
      <c r="H18" s="3" t="s">
        <v>78</v>
      </c>
    </row>
    <row r="19" spans="1:11" x14ac:dyDescent="0.25">
      <c r="A19" s="4" t="s">
        <v>79</v>
      </c>
      <c r="F19">
        <f>COUNTIFS(B2:B15,"&lt;&gt;*_*",B2:B15,"&lt;&gt;")</f>
        <v>10</v>
      </c>
      <c r="H19" s="4" t="s">
        <v>79</v>
      </c>
      <c r="K19">
        <f>COUNTIFS(B2:B15,"&lt;&gt;*_*",B2:B15,"&lt;&gt;",R2:R15,"&lt;&gt;TRUE")</f>
        <v>10</v>
      </c>
    </row>
    <row r="20" spans="1:11" x14ac:dyDescent="0.25">
      <c r="A20" s="4" t="s">
        <v>80</v>
      </c>
      <c r="F20">
        <f>COUNTIFS(F2:F15,"&gt;0")</f>
        <v>8</v>
      </c>
      <c r="H20" s="4" t="s">
        <v>80</v>
      </c>
      <c r="K20">
        <f>COUNTIFS(F2:F15,"&gt;0",R2:R15,"&lt;&gt;TRUE")</f>
        <v>8</v>
      </c>
    </row>
    <row r="21" spans="1:11" x14ac:dyDescent="0.25">
      <c r="A21" s="4" t="s">
        <v>81</v>
      </c>
      <c r="F21">
        <f>COUNTIFS(G2:G15,"&gt;0")</f>
        <v>7</v>
      </c>
      <c r="H21" s="4" t="s">
        <v>81</v>
      </c>
      <c r="K21">
        <f>COUNTIFS(G2:G15,"&gt;0",S2:S15,"&lt;&gt;TRUE")</f>
        <v>7</v>
      </c>
    </row>
    <row r="22" spans="1:11" x14ac:dyDescent="0.25">
      <c r="A22" s="4" t="s">
        <v>82</v>
      </c>
      <c r="F22">
        <f>COUNTIFS(F2:F15,"&lt;&gt;-1",F2:F15,"&lt;&gt;0",F2:F15,"&lt;2")</f>
        <v>1</v>
      </c>
      <c r="H22" s="4" t="s">
        <v>82</v>
      </c>
      <c r="K22">
        <f>COUNTIFS(F2:F15,"&lt;&gt;-1",F2:F15,"&lt;&gt;0",F2:F15,"&lt;2",R2:R15,"&lt;&gt;TRUE")</f>
        <v>1</v>
      </c>
    </row>
    <row r="23" spans="1:11" x14ac:dyDescent="0.25">
      <c r="A23" s="4" t="s">
        <v>83</v>
      </c>
      <c r="F23">
        <f>COUNTIFS(G2:G15,"&lt;&gt;-1",G2:G15,"&lt;&gt;0",G2:G15,"&lt;2")</f>
        <v>2</v>
      </c>
      <c r="H23" s="4" t="s">
        <v>83</v>
      </c>
      <c r="K23">
        <f>COUNTIFS(G2:G15,"&lt;&gt;-1",G2:G15,"&lt;&gt;0",G2:G15,"&lt;2",S2:S15,"&lt;&gt;TRUE")</f>
        <v>2</v>
      </c>
    </row>
    <row r="24" spans="1:11" x14ac:dyDescent="0.25">
      <c r="A24" s="4" t="s">
        <v>84</v>
      </c>
      <c r="F24">
        <f>COUNTIFS(F2:F15,"=-1")+COUNTIFS(F2:F15,"=-3")</f>
        <v>2</v>
      </c>
      <c r="H24" s="4" t="s">
        <v>84</v>
      </c>
      <c r="K24">
        <f>COUNTIFS(F2:F15,"=-1",R2:R15,"&lt;&gt;TRUE")+COUNTIFS(F2:F15,"=-3",R2:R15,"&lt;&gt;TRUE")</f>
        <v>2</v>
      </c>
    </row>
    <row r="25" spans="1:11" x14ac:dyDescent="0.25">
      <c r="A25" s="4" t="s">
        <v>85</v>
      </c>
      <c r="F25">
        <f>COUNTIFS(G2:G15,"=-1")+COUNTIFS(G2:G15,"=-3")</f>
        <v>3</v>
      </c>
      <c r="H25" s="4" t="s">
        <v>85</v>
      </c>
      <c r="K25">
        <f>COUNTIFS(G2:G15,"=-1",S2:S15,"&lt;&gt;TRUE")+COUNTIFS(G2:G15,"=-3",S2:S15,"&lt;&gt;TRUE")</f>
        <v>3</v>
      </c>
    </row>
    <row r="26" spans="1:11" x14ac:dyDescent="0.25">
      <c r="A26" s="4" t="s">
        <v>86</v>
      </c>
      <c r="F26" s="8">
        <f>F20/F19</f>
        <v>0.8</v>
      </c>
      <c r="H26" s="4" t="s">
        <v>86</v>
      </c>
      <c r="K26" s="8">
        <f>K20/K19</f>
        <v>0.8</v>
      </c>
    </row>
    <row r="27" spans="1:11" x14ac:dyDescent="0.25">
      <c r="A27" s="4" t="s">
        <v>87</v>
      </c>
      <c r="F27" s="8">
        <f>F21/F19</f>
        <v>0.7</v>
      </c>
      <c r="H27" s="4" t="s">
        <v>88</v>
      </c>
      <c r="K27" s="8">
        <f>K21/K19</f>
        <v>0.7</v>
      </c>
    </row>
    <row r="28" spans="1:11" x14ac:dyDescent="0.25">
      <c r="A28" s="4" t="s">
        <v>89</v>
      </c>
      <c r="F28" s="8">
        <f>F20/(F20+F22)</f>
        <v>0.88888888888888884</v>
      </c>
      <c r="H28" s="4" t="s">
        <v>89</v>
      </c>
      <c r="K28" s="8">
        <f>K20/(K20+K22)</f>
        <v>0.88888888888888884</v>
      </c>
    </row>
    <row r="29" spans="1:11" x14ac:dyDescent="0.25">
      <c r="A29" s="4" t="s">
        <v>90</v>
      </c>
      <c r="F29" s="8">
        <f>F21/(F21+F23)</f>
        <v>0.77777777777777779</v>
      </c>
      <c r="H29" s="4" t="s">
        <v>90</v>
      </c>
      <c r="K29" s="8">
        <f>K21/(K21+K23)</f>
        <v>0.77777777777777779</v>
      </c>
    </row>
    <row r="32" spans="1:11" ht="15.75" x14ac:dyDescent="0.25">
      <c r="A32" s="3" t="s">
        <v>91</v>
      </c>
      <c r="H32" s="3" t="s">
        <v>92</v>
      </c>
    </row>
    <row r="33" spans="1:11" x14ac:dyDescent="0.25">
      <c r="A33" s="4" t="s">
        <v>79</v>
      </c>
      <c r="F33">
        <f>COUNTIFS(H2:H15,"&lt;&gt;*_FP",H2:H15,"&lt;&gt;",H2:H15,"&lt;&gt;no structure")</f>
        <v>10</v>
      </c>
      <c r="H33" s="4" t="s">
        <v>79</v>
      </c>
      <c r="K33">
        <f>COUNTIFS(H2:H15,"&lt;&gt;*_FP",H2:H15,"&lt;&gt;",H2:H15,"&lt;&gt;no structure",T2:T15,"&lt;&gt;TRUE")</f>
        <v>10</v>
      </c>
    </row>
    <row r="34" spans="1:11" x14ac:dyDescent="0.25">
      <c r="A34" s="4" t="s">
        <v>80</v>
      </c>
      <c r="F34">
        <f>COUNTIFS(K2:K15,"&gt;0")</f>
        <v>8</v>
      </c>
      <c r="H34" s="4" t="s">
        <v>80</v>
      </c>
      <c r="K34">
        <f>COUNTIFS(K2:K15,"&gt;0",T2:T15,"&lt;&gt;TRUE")</f>
        <v>8</v>
      </c>
    </row>
    <row r="35" spans="1:11" x14ac:dyDescent="0.25">
      <c r="A35" s="4" t="s">
        <v>81</v>
      </c>
      <c r="F35">
        <f>COUNTIFS(L2:L15,"&gt;0")</f>
        <v>7</v>
      </c>
      <c r="H35" s="4" t="s">
        <v>81</v>
      </c>
      <c r="K35">
        <f>COUNTIFS(L2:L15,"&gt;0",U2:U15,"&lt;&gt;TRUE")</f>
        <v>7</v>
      </c>
    </row>
    <row r="36" spans="1:11" x14ac:dyDescent="0.25">
      <c r="A36" s="4" t="s">
        <v>82</v>
      </c>
      <c r="F36">
        <f>COUNTIFS(K2:K15,"&lt;&gt;-1",K2:K15,"&lt;&gt;0",K2:K15,"&lt;2")</f>
        <v>1</v>
      </c>
      <c r="H36" s="4" t="s">
        <v>82</v>
      </c>
      <c r="K36">
        <f>COUNTIFS(K2:K15,"&lt;&gt;-1",K2:K15,"&lt;&gt;0",K2:K15,"&lt;2",T2:T15,"&lt;&gt;TRUE")</f>
        <v>1</v>
      </c>
    </row>
    <row r="37" spans="1:11" x14ac:dyDescent="0.25">
      <c r="A37" s="4" t="s">
        <v>83</v>
      </c>
      <c r="F37">
        <f>COUNTIFS(L2:L15,"&lt;&gt;-1",L2:L15,"&lt;&gt;0",L2:L15,"&lt;2")</f>
        <v>3</v>
      </c>
      <c r="H37" s="4" t="s">
        <v>83</v>
      </c>
      <c r="K37">
        <f>COUNTIFS(L2:L15,"&lt;&gt;-1",L2:L15,"&lt;&gt;0",L2:L15,"&lt;2",U2:U15,"&lt;&gt;TRUE")</f>
        <v>3</v>
      </c>
    </row>
    <row r="38" spans="1:11" x14ac:dyDescent="0.25">
      <c r="A38" s="4" t="s">
        <v>84</v>
      </c>
      <c r="F38">
        <f>COUNTIFS(K2:K15,"=-1")+COUNTIFS(K2:K15,"=-3")</f>
        <v>2</v>
      </c>
      <c r="H38" s="4" t="s">
        <v>84</v>
      </c>
      <c r="K38">
        <f>COUNTIFS(K2:K15,"=-1",T2:T15,"&lt;&gt;TRUE")+COUNTIFS(K2:K15,"=-3",T2:T15,"&lt;&gt;TRUE")</f>
        <v>2</v>
      </c>
    </row>
    <row r="39" spans="1:11" x14ac:dyDescent="0.25">
      <c r="A39" s="4" t="s">
        <v>85</v>
      </c>
      <c r="F39">
        <f>COUNTIFS(L2:L15,"=-1")+COUNTIFS(L2:L15,"=-3")</f>
        <v>3</v>
      </c>
      <c r="H39" s="4" t="s">
        <v>85</v>
      </c>
      <c r="K39">
        <f>COUNTIFS(L2:L15,"=-1",U2:U15,"&lt;&gt;TRUE")+COUNTIFS(L2:L15,"=-3",U2:U15,"&lt;&gt;TRUE")</f>
        <v>3</v>
      </c>
    </row>
    <row r="40" spans="1:11" x14ac:dyDescent="0.25">
      <c r="A40" s="4" t="s">
        <v>86</v>
      </c>
      <c r="F40" s="8">
        <f>F34/F33</f>
        <v>0.8</v>
      </c>
      <c r="H40" s="4" t="s">
        <v>86</v>
      </c>
      <c r="K40" s="8">
        <f>K34/K33</f>
        <v>0.8</v>
      </c>
    </row>
    <row r="41" spans="1:11" x14ac:dyDescent="0.25">
      <c r="A41" s="4" t="s">
        <v>87</v>
      </c>
      <c r="F41" s="8">
        <f>F35/F33</f>
        <v>0.7</v>
      </c>
      <c r="H41" s="4" t="s">
        <v>88</v>
      </c>
      <c r="K41" s="8">
        <f>K35/K33</f>
        <v>0.7</v>
      </c>
    </row>
    <row r="42" spans="1:11" x14ac:dyDescent="0.25">
      <c r="A42" s="4" t="s">
        <v>89</v>
      </c>
      <c r="F42" s="8">
        <f>F34/(F34+F36)</f>
        <v>0.88888888888888884</v>
      </c>
      <c r="H42" s="4" t="s">
        <v>89</v>
      </c>
      <c r="K42" s="8">
        <f>K34/(K34+K36)</f>
        <v>0.88888888888888884</v>
      </c>
    </row>
    <row r="43" spans="1:11" x14ac:dyDescent="0.25">
      <c r="A43" s="4" t="s">
        <v>90</v>
      </c>
      <c r="F43" s="8">
        <f>F35/(F35+F37)</f>
        <v>0.7</v>
      </c>
      <c r="H43" s="4" t="s">
        <v>90</v>
      </c>
      <c r="K43" s="8">
        <f>K35/(K35+K37)</f>
        <v>0.7</v>
      </c>
    </row>
    <row r="46" spans="1:11" ht="15.75" x14ac:dyDescent="0.25">
      <c r="A46" s="3" t="s">
        <v>93</v>
      </c>
    </row>
    <row r="47" spans="1:11" x14ac:dyDescent="0.25">
      <c r="A47" s="1" t="s">
        <v>94</v>
      </c>
    </row>
    <row r="48" spans="1:11" x14ac:dyDescent="0.25">
      <c r="A48" s="5" t="s">
        <v>95</v>
      </c>
    </row>
    <row r="50" spans="1:1" x14ac:dyDescent="0.25">
      <c r="A50" s="1" t="s">
        <v>96</v>
      </c>
    </row>
    <row r="51" spans="1:1" x14ac:dyDescent="0.25">
      <c r="A51" s="6" t="s">
        <v>97</v>
      </c>
    </row>
    <row r="52" spans="1:1" x14ac:dyDescent="0.25">
      <c r="A52" s="7" t="s">
        <v>98</v>
      </c>
    </row>
    <row r="53" spans="1:1" x14ac:dyDescent="0.25">
      <c r="A53" s="5" t="s">
        <v>99</v>
      </c>
    </row>
    <row r="55" spans="1:1" x14ac:dyDescent="0.25">
      <c r="A55" s="4" t="s">
        <v>100</v>
      </c>
    </row>
    <row r="56" spans="1:1" x14ac:dyDescent="0.25">
      <c r="A56" t="s">
        <v>101</v>
      </c>
    </row>
    <row r="57" spans="1:1" x14ac:dyDescent="0.25">
      <c r="A57" t="s">
        <v>102</v>
      </c>
    </row>
    <row r="58" spans="1:1" x14ac:dyDescent="0.25">
      <c r="A58" t="s">
        <v>103</v>
      </c>
    </row>
    <row r="59" spans="1:1" x14ac:dyDescent="0.25">
      <c r="A59" t="s">
        <v>104</v>
      </c>
    </row>
    <row r="60" spans="1:1" x14ac:dyDescent="0.25">
      <c r="A60" t="s">
        <v>105</v>
      </c>
    </row>
    <row r="61" spans="1:1" x14ac:dyDescent="0.25">
      <c r="A61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107</v>
      </c>
      <c r="B2" s="5" t="s">
        <v>108</v>
      </c>
      <c r="C2" t="s">
        <v>20</v>
      </c>
      <c r="D2" s="5" t="s">
        <v>109</v>
      </c>
      <c r="E2" t="s">
        <v>22</v>
      </c>
      <c r="F2" s="5">
        <v>-2</v>
      </c>
      <c r="G2">
        <v>0</v>
      </c>
      <c r="H2" s="5" t="s">
        <v>110</v>
      </c>
      <c r="I2" s="5" t="s">
        <v>111</v>
      </c>
      <c r="J2" t="s">
        <v>17</v>
      </c>
      <c r="K2" s="5">
        <v>-2</v>
      </c>
      <c r="L2">
        <v>0</v>
      </c>
      <c r="M2" t="s">
        <v>17</v>
      </c>
      <c r="N2" t="s">
        <v>112</v>
      </c>
      <c r="O2" t="s">
        <v>17</v>
      </c>
      <c r="Q2" t="s">
        <v>418</v>
      </c>
    </row>
    <row r="5" spans="1:21" ht="15.75" x14ac:dyDescent="0.25">
      <c r="A5" s="3" t="s">
        <v>77</v>
      </c>
      <c r="H5" s="3" t="s">
        <v>78</v>
      </c>
    </row>
    <row r="6" spans="1:21" x14ac:dyDescent="0.25">
      <c r="A6" s="4" t="s">
        <v>79</v>
      </c>
      <c r="F6">
        <f>COUNTIFS(B2:B2,"&lt;&gt;*_*",B2:B2,"&lt;&gt;")</f>
        <v>0</v>
      </c>
      <c r="H6" s="4" t="s">
        <v>79</v>
      </c>
      <c r="K6">
        <f>COUNTIFS(B2:B2,"&lt;&gt;*_*",B2:B2,"&lt;&gt;",R2:R2,"&lt;&gt;TRUE")</f>
        <v>0</v>
      </c>
    </row>
    <row r="7" spans="1:21" x14ac:dyDescent="0.25">
      <c r="A7" s="4" t="s">
        <v>80</v>
      </c>
      <c r="F7">
        <f>COUNTIFS(F2:F2,"&gt;0")</f>
        <v>0</v>
      </c>
      <c r="H7" s="4" t="s">
        <v>80</v>
      </c>
      <c r="K7">
        <f>COUNTIFS(F2:F2,"&gt;0",R2:R2,"&lt;&gt;TRUE")</f>
        <v>0</v>
      </c>
    </row>
    <row r="8" spans="1:21" x14ac:dyDescent="0.25">
      <c r="A8" s="4" t="s">
        <v>81</v>
      </c>
      <c r="F8">
        <f>COUNTIFS(G2:G2,"&gt;0")</f>
        <v>0</v>
      </c>
      <c r="H8" s="4" t="s">
        <v>81</v>
      </c>
      <c r="K8">
        <f>COUNTIFS(G2:G2,"&gt;0",S2:S2,"&lt;&gt;TRUE")</f>
        <v>0</v>
      </c>
    </row>
    <row r="9" spans="1:21" x14ac:dyDescent="0.25">
      <c r="A9" s="4" t="s">
        <v>82</v>
      </c>
      <c r="F9">
        <f>COUNTIFS(F2:F2,"&lt;&gt;-1",F2:F2,"&lt;&gt;0",F2:F2,"&lt;2")</f>
        <v>1</v>
      </c>
      <c r="H9" s="4" t="s">
        <v>82</v>
      </c>
      <c r="K9">
        <f>COUNTIFS(F2:F2,"&lt;&gt;-1",F2:F2,"&lt;&gt;0",F2:F2,"&lt;2",R2:R2,"&lt;&gt;TRUE")</f>
        <v>1</v>
      </c>
    </row>
    <row r="10" spans="1:21" x14ac:dyDescent="0.25">
      <c r="A10" s="4" t="s">
        <v>83</v>
      </c>
      <c r="F10">
        <f>COUNTIFS(G2:G2,"&lt;&gt;-1",G2:G2,"&lt;&gt;0",G2:G2,"&lt;2")</f>
        <v>0</v>
      </c>
      <c r="H10" s="4" t="s">
        <v>83</v>
      </c>
      <c r="K10">
        <f>COUNTIFS(G2:G2,"&lt;&gt;-1",G2:G2,"&lt;&gt;0",G2:G2,"&lt;2",S2:S2,"&lt;&gt;TRUE")</f>
        <v>0</v>
      </c>
    </row>
    <row r="11" spans="1:21" x14ac:dyDescent="0.25">
      <c r="A11" s="4" t="s">
        <v>84</v>
      </c>
      <c r="F11">
        <f>COUNTIFS(F2:F2,"=-1")+COUNTIFS(F2:F2,"=-3")</f>
        <v>0</v>
      </c>
      <c r="H11" s="4" t="s">
        <v>84</v>
      </c>
      <c r="K11">
        <f>COUNTIFS(F2:F2,"=-1",R2:R2,"&lt;&gt;TRUE")+COUNTIFS(F2:F2,"=-3",R2:R2,"&lt;&gt;TRUE")</f>
        <v>0</v>
      </c>
    </row>
    <row r="12" spans="1:21" x14ac:dyDescent="0.25">
      <c r="A12" s="4" t="s">
        <v>85</v>
      </c>
      <c r="F12">
        <f>COUNTIFS(G2:G2,"=-1")+COUNTIFS(G2:G2,"=-3")</f>
        <v>0</v>
      </c>
      <c r="H12" s="4" t="s">
        <v>85</v>
      </c>
      <c r="K12">
        <f>COUNTIFS(G2:G2,"=-1",S2:S2,"&lt;&gt;TRUE")+COUNTIFS(G2:G2,"=-3",S2:S2,"&lt;&gt;TRUE")</f>
        <v>0</v>
      </c>
    </row>
    <row r="13" spans="1:21" x14ac:dyDescent="0.25">
      <c r="A13" s="4" t="s">
        <v>86</v>
      </c>
      <c r="F13" s="10" t="s">
        <v>417</v>
      </c>
      <c r="H13" s="4" t="s">
        <v>86</v>
      </c>
      <c r="K13" s="10" t="s">
        <v>417</v>
      </c>
    </row>
    <row r="14" spans="1:21" x14ac:dyDescent="0.25">
      <c r="A14" s="4" t="s">
        <v>87</v>
      </c>
      <c r="F14" s="10" t="s">
        <v>417</v>
      </c>
      <c r="H14" s="4" t="s">
        <v>88</v>
      </c>
      <c r="K14" s="10" t="s">
        <v>417</v>
      </c>
    </row>
    <row r="15" spans="1:21" x14ac:dyDescent="0.25">
      <c r="A15" s="4" t="s">
        <v>89</v>
      </c>
      <c r="F15" s="8">
        <f>F7/(F7+F9)</f>
        <v>0</v>
      </c>
      <c r="H15" s="4" t="s">
        <v>89</v>
      </c>
      <c r="K15" s="8">
        <f>K7/(K7+K9)</f>
        <v>0</v>
      </c>
    </row>
    <row r="16" spans="1:21" x14ac:dyDescent="0.25">
      <c r="A16" s="4" t="s">
        <v>90</v>
      </c>
      <c r="F16" s="10" t="s">
        <v>417</v>
      </c>
      <c r="H16" s="4" t="s">
        <v>90</v>
      </c>
      <c r="K16" s="10" t="s">
        <v>417</v>
      </c>
    </row>
    <row r="19" spans="1:11" ht="15.75" x14ac:dyDescent="0.25">
      <c r="A19" s="3" t="s">
        <v>91</v>
      </c>
      <c r="H19" s="3" t="s">
        <v>92</v>
      </c>
    </row>
    <row r="20" spans="1:11" x14ac:dyDescent="0.25">
      <c r="A20" s="4" t="s">
        <v>79</v>
      </c>
      <c r="F20">
        <f>COUNTIFS(H2:H2,"&lt;&gt;*_FP",H2:H2,"&lt;&gt;",H2:H2,"&lt;&gt;no structure")</f>
        <v>0</v>
      </c>
      <c r="H20" s="4" t="s">
        <v>79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80</v>
      </c>
      <c r="F21">
        <f>COUNTIFS(K2:K2,"&gt;0")</f>
        <v>0</v>
      </c>
      <c r="H21" s="4" t="s">
        <v>80</v>
      </c>
      <c r="K21">
        <f>COUNTIFS(K2:K2,"&gt;0",T2:T2,"&lt;&gt;TRUE")</f>
        <v>0</v>
      </c>
    </row>
    <row r="22" spans="1:11" x14ac:dyDescent="0.25">
      <c r="A22" s="4" t="s">
        <v>81</v>
      </c>
      <c r="F22">
        <f>COUNTIFS(L2:L2,"&gt;0")</f>
        <v>0</v>
      </c>
      <c r="H22" s="4" t="s">
        <v>81</v>
      </c>
      <c r="K22">
        <f>COUNTIFS(L2:L2,"&gt;0",U2:U2,"&lt;&gt;TRUE")</f>
        <v>0</v>
      </c>
    </row>
    <row r="23" spans="1:11" x14ac:dyDescent="0.25">
      <c r="A23" s="4" t="s">
        <v>82</v>
      </c>
      <c r="F23">
        <f>COUNTIFS(K2:K2,"&lt;&gt;-1",K2:K2,"&lt;&gt;0",K2:K2,"&lt;2")</f>
        <v>1</v>
      </c>
      <c r="H23" s="4" t="s">
        <v>82</v>
      </c>
      <c r="K23">
        <f>COUNTIFS(K2:K2,"&lt;&gt;-1",K2:K2,"&lt;&gt;0",K2:K2,"&lt;2",T2:T2,"&lt;&gt;TRUE")</f>
        <v>1</v>
      </c>
    </row>
    <row r="24" spans="1:11" x14ac:dyDescent="0.25">
      <c r="A24" s="4" t="s">
        <v>83</v>
      </c>
      <c r="F24">
        <f>COUNTIFS(L2:L2,"&lt;&gt;-1",L2:L2,"&lt;&gt;0",L2:L2,"&lt;2")</f>
        <v>0</v>
      </c>
      <c r="H24" s="4" t="s">
        <v>83</v>
      </c>
      <c r="K24">
        <f>COUNTIFS(L2:L2,"&lt;&gt;-1",L2:L2,"&lt;&gt;0",L2:L2,"&lt;2",U2:U2,"&lt;&gt;TRUE")</f>
        <v>0</v>
      </c>
    </row>
    <row r="25" spans="1:11" x14ac:dyDescent="0.25">
      <c r="A25" s="4" t="s">
        <v>84</v>
      </c>
      <c r="F25">
        <f>COUNTIFS(K2:K2,"=-1")+COUNTIFS(K2:K2,"=-3")</f>
        <v>0</v>
      </c>
      <c r="H25" s="4" t="s">
        <v>84</v>
      </c>
      <c r="K25">
        <f>COUNTIFS(K2:K2,"=-1",T2:T2,"&lt;&gt;TRUE")+COUNTIFS(K2:K2,"=-3",T2:T2,"&lt;&gt;TRUE")</f>
        <v>0</v>
      </c>
    </row>
    <row r="26" spans="1:11" x14ac:dyDescent="0.25">
      <c r="A26" s="4" t="s">
        <v>85</v>
      </c>
      <c r="F26">
        <f>COUNTIFS(L2:L2,"=-1")+COUNTIFS(L2:L2,"=-3")</f>
        <v>0</v>
      </c>
      <c r="H26" s="4" t="s">
        <v>85</v>
      </c>
      <c r="K26">
        <f>COUNTIFS(L2:L2,"=-1",U2:U2,"&lt;&gt;TRUE")+COUNTIFS(L2:L2,"=-3",U2:U2,"&lt;&gt;TRUE")</f>
        <v>0</v>
      </c>
    </row>
    <row r="27" spans="1:11" x14ac:dyDescent="0.25">
      <c r="A27" s="4" t="s">
        <v>86</v>
      </c>
      <c r="F27" s="10" t="s">
        <v>417</v>
      </c>
      <c r="H27" s="4" t="s">
        <v>86</v>
      </c>
      <c r="K27" s="10" t="s">
        <v>417</v>
      </c>
    </row>
    <row r="28" spans="1:11" x14ac:dyDescent="0.25">
      <c r="A28" s="4" t="s">
        <v>87</v>
      </c>
      <c r="F28" s="10" t="s">
        <v>417</v>
      </c>
      <c r="H28" s="4" t="s">
        <v>88</v>
      </c>
      <c r="K28" s="10" t="s">
        <v>417</v>
      </c>
    </row>
    <row r="29" spans="1:11" x14ac:dyDescent="0.25">
      <c r="A29" s="4" t="s">
        <v>89</v>
      </c>
      <c r="F29" s="8">
        <f>F21/(F21+F23)</f>
        <v>0</v>
      </c>
      <c r="H29" s="4" t="s">
        <v>89</v>
      </c>
      <c r="K29" s="8">
        <f>K21/(K21+K23)</f>
        <v>0</v>
      </c>
    </row>
    <row r="30" spans="1:11" x14ac:dyDescent="0.25">
      <c r="A30" s="4" t="s">
        <v>90</v>
      </c>
      <c r="F30" s="10" t="s">
        <v>417</v>
      </c>
      <c r="H30" s="4" t="s">
        <v>90</v>
      </c>
      <c r="K30" s="10" t="s">
        <v>417</v>
      </c>
    </row>
    <row r="33" spans="1:1" ht="15.75" x14ac:dyDescent="0.25">
      <c r="A33" s="3" t="s">
        <v>93</v>
      </c>
    </row>
    <row r="34" spans="1:1" x14ac:dyDescent="0.25">
      <c r="A34" s="1" t="s">
        <v>94</v>
      </c>
    </row>
    <row r="35" spans="1:1" x14ac:dyDescent="0.25">
      <c r="A35" s="5" t="s">
        <v>95</v>
      </c>
    </row>
    <row r="37" spans="1:1" x14ac:dyDescent="0.25">
      <c r="A37" s="1" t="s">
        <v>96</v>
      </c>
    </row>
    <row r="38" spans="1:1" x14ac:dyDescent="0.25">
      <c r="A38" s="6" t="s">
        <v>97</v>
      </c>
    </row>
    <row r="39" spans="1:1" x14ac:dyDescent="0.25">
      <c r="A39" s="7" t="s">
        <v>98</v>
      </c>
    </row>
    <row r="40" spans="1:1" x14ac:dyDescent="0.25">
      <c r="A40" s="5" t="s">
        <v>99</v>
      </c>
    </row>
    <row r="42" spans="1:1" x14ac:dyDescent="0.25">
      <c r="A42" s="4" t="s">
        <v>100</v>
      </c>
    </row>
    <row r="43" spans="1:1" x14ac:dyDescent="0.25">
      <c r="A43" t="s">
        <v>101</v>
      </c>
    </row>
    <row r="44" spans="1:1" x14ac:dyDescent="0.25">
      <c r="A44" t="s">
        <v>102</v>
      </c>
    </row>
    <row r="45" spans="1:1" x14ac:dyDescent="0.25">
      <c r="A45" t="s">
        <v>103</v>
      </c>
    </row>
    <row r="46" spans="1:1" x14ac:dyDescent="0.25">
      <c r="A46" t="s">
        <v>104</v>
      </c>
    </row>
    <row r="47" spans="1:1" x14ac:dyDescent="0.25">
      <c r="A47" t="s">
        <v>105</v>
      </c>
    </row>
    <row r="48" spans="1:1" x14ac:dyDescent="0.25">
      <c r="A48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113</v>
      </c>
      <c r="B2" s="1" t="s">
        <v>114</v>
      </c>
      <c r="C2" t="s">
        <v>20</v>
      </c>
      <c r="D2" s="1" t="s">
        <v>114</v>
      </c>
      <c r="E2" s="5" t="s">
        <v>22</v>
      </c>
      <c r="F2" s="1">
        <v>2</v>
      </c>
      <c r="G2" s="5">
        <v>-1</v>
      </c>
      <c r="H2" t="s">
        <v>115</v>
      </c>
      <c r="I2" t="s">
        <v>116</v>
      </c>
      <c r="J2" t="s">
        <v>17</v>
      </c>
    </row>
    <row r="3" spans="1:14" x14ac:dyDescent="0.25">
      <c r="A3" t="s">
        <v>113</v>
      </c>
      <c r="B3" s="1" t="s">
        <v>117</v>
      </c>
      <c r="C3" t="s">
        <v>20</v>
      </c>
      <c r="D3" s="1" t="s">
        <v>117</v>
      </c>
      <c r="E3" s="5" t="s">
        <v>22</v>
      </c>
      <c r="F3" s="1">
        <v>2</v>
      </c>
      <c r="G3" s="5">
        <v>-1</v>
      </c>
      <c r="H3" t="s">
        <v>118</v>
      </c>
      <c r="I3" t="s">
        <v>119</v>
      </c>
      <c r="J3" t="s">
        <v>17</v>
      </c>
    </row>
    <row r="6" spans="1:14" ht="15.75" x14ac:dyDescent="0.25">
      <c r="A6" s="3" t="s">
        <v>77</v>
      </c>
      <c r="H6" s="3" t="s">
        <v>78</v>
      </c>
    </row>
    <row r="7" spans="1:14" x14ac:dyDescent="0.25">
      <c r="A7" s="4" t="s">
        <v>79</v>
      </c>
      <c r="F7">
        <f>COUNTIFS(B2:B3,"&lt;&gt;*_*",B2:B3,"&lt;&gt;")</f>
        <v>2</v>
      </c>
      <c r="H7" s="4" t="s">
        <v>79</v>
      </c>
      <c r="K7">
        <f>COUNTIFS(B2:B3,"&lt;&gt;*_*",B2:B3,"&lt;&gt;",M2:M3,"&lt;&gt;TRUE")</f>
        <v>2</v>
      </c>
    </row>
    <row r="8" spans="1:14" x14ac:dyDescent="0.25">
      <c r="A8" s="4" t="s">
        <v>80</v>
      </c>
      <c r="F8">
        <f>COUNTIFS(F2:F3,"&gt;0")</f>
        <v>2</v>
      </c>
      <c r="H8" s="4" t="s">
        <v>80</v>
      </c>
      <c r="K8">
        <f>COUNTIFS(F2:F3,"&gt;0",M2:M3,"&lt;&gt;TRUE")</f>
        <v>2</v>
      </c>
    </row>
    <row r="9" spans="1:14" x14ac:dyDescent="0.25">
      <c r="A9" s="4" t="s">
        <v>81</v>
      </c>
      <c r="F9">
        <f>COUNTIFS(G2:G3,"&gt;0")</f>
        <v>0</v>
      </c>
      <c r="H9" s="4" t="s">
        <v>81</v>
      </c>
      <c r="K9">
        <f>COUNTIFS(G2:G3,"&gt;0",N2:N3,"&lt;&gt;TRUE")</f>
        <v>0</v>
      </c>
    </row>
    <row r="10" spans="1:14" x14ac:dyDescent="0.25">
      <c r="A10" s="4" t="s">
        <v>82</v>
      </c>
      <c r="F10">
        <f>COUNTIFS(F2:F3,"&lt;&gt;-1",F2:F3,"&lt;&gt;0",F2:F3,"&lt;2")</f>
        <v>0</v>
      </c>
      <c r="H10" s="4" t="s">
        <v>82</v>
      </c>
      <c r="K10">
        <f>COUNTIFS(F2:F3,"&lt;&gt;-1",F2:F3,"&lt;&gt;0",F2:F3,"&lt;2",M2:M3,"&lt;&gt;TRUE")</f>
        <v>0</v>
      </c>
    </row>
    <row r="11" spans="1:14" x14ac:dyDescent="0.25">
      <c r="A11" s="4" t="s">
        <v>83</v>
      </c>
      <c r="F11">
        <f>COUNTIFS(G2:G3,"&lt;&gt;-1",G2:G3,"&lt;&gt;0",G2:G3,"&lt;2")</f>
        <v>0</v>
      </c>
      <c r="H11" s="4" t="s">
        <v>83</v>
      </c>
      <c r="K11">
        <f>COUNTIFS(G2:G3,"&lt;&gt;-1",G2:G3,"&lt;&gt;0",G2:G3,"&lt;2",N2:N3,"&lt;&gt;TRUE")</f>
        <v>0</v>
      </c>
    </row>
    <row r="12" spans="1:14" x14ac:dyDescent="0.25">
      <c r="A12" s="4" t="s">
        <v>84</v>
      </c>
      <c r="F12">
        <f>COUNTIFS(F2:F3,"=-1")+COUNTIFS(F2:F3,"=-3")</f>
        <v>0</v>
      </c>
      <c r="H12" s="4" t="s">
        <v>84</v>
      </c>
      <c r="K12">
        <f>COUNTIFS(F2:F3,"=-1",M2:M3,"&lt;&gt;TRUE")+COUNTIFS(F2:F3,"=-3",M2:M3,"&lt;&gt;TRUE")</f>
        <v>0</v>
      </c>
    </row>
    <row r="13" spans="1:14" x14ac:dyDescent="0.25">
      <c r="A13" s="4" t="s">
        <v>85</v>
      </c>
      <c r="F13">
        <f>COUNTIFS(G2:G3,"=-1")+COUNTIFS(G2:G3,"=-3")</f>
        <v>2</v>
      </c>
      <c r="H13" s="4" t="s">
        <v>85</v>
      </c>
      <c r="K13">
        <f>COUNTIFS(G2:G3,"=-1",N2:N3,"&lt;&gt;TRUE")+COUNTIFS(G2:G3,"=-3",N2:N3,"&lt;&gt;TRUE")</f>
        <v>2</v>
      </c>
    </row>
    <row r="14" spans="1:14" x14ac:dyDescent="0.25">
      <c r="A14" s="4" t="s">
        <v>86</v>
      </c>
      <c r="F14" s="8">
        <f>F8/F7</f>
        <v>1</v>
      </c>
      <c r="H14" s="4" t="s">
        <v>86</v>
      </c>
      <c r="K14" s="8">
        <f>K8/K7</f>
        <v>1</v>
      </c>
    </row>
    <row r="15" spans="1:14" x14ac:dyDescent="0.25">
      <c r="A15" s="4" t="s">
        <v>87</v>
      </c>
      <c r="F15" s="8">
        <f>F9/F7</f>
        <v>0</v>
      </c>
      <c r="H15" s="4" t="s">
        <v>88</v>
      </c>
      <c r="K15" s="8">
        <f>K9/K7</f>
        <v>0</v>
      </c>
    </row>
    <row r="16" spans="1:14" x14ac:dyDescent="0.25">
      <c r="A16" s="4" t="s">
        <v>89</v>
      </c>
      <c r="F16" s="8">
        <f>F8/(F8+F10)</f>
        <v>1</v>
      </c>
      <c r="H16" s="4" t="s">
        <v>89</v>
      </c>
      <c r="K16" s="8">
        <f>K8/(K8+K10)</f>
        <v>1</v>
      </c>
    </row>
    <row r="17" spans="1:11" x14ac:dyDescent="0.25">
      <c r="A17" s="4" t="s">
        <v>90</v>
      </c>
      <c r="F17" s="10" t="s">
        <v>417</v>
      </c>
      <c r="H17" s="4" t="s">
        <v>90</v>
      </c>
      <c r="K17" s="10" t="s">
        <v>417</v>
      </c>
    </row>
    <row r="20" spans="1:11" ht="15.75" x14ac:dyDescent="0.25">
      <c r="A20" s="3" t="s">
        <v>93</v>
      </c>
    </row>
    <row r="21" spans="1:11" x14ac:dyDescent="0.25">
      <c r="A21" s="1" t="s">
        <v>94</v>
      </c>
    </row>
    <row r="22" spans="1:11" x14ac:dyDescent="0.25">
      <c r="A22" s="5" t="s">
        <v>95</v>
      </c>
    </row>
    <row r="24" spans="1:11" x14ac:dyDescent="0.25">
      <c r="A24" s="1" t="s">
        <v>96</v>
      </c>
    </row>
    <row r="25" spans="1:11" x14ac:dyDescent="0.25">
      <c r="A25" s="6" t="s">
        <v>97</v>
      </c>
    </row>
    <row r="26" spans="1:11" x14ac:dyDescent="0.25">
      <c r="A26" s="7" t="s">
        <v>98</v>
      </c>
    </row>
    <row r="27" spans="1:11" x14ac:dyDescent="0.25">
      <c r="A27" s="5" t="s">
        <v>99</v>
      </c>
    </row>
    <row r="29" spans="1:11" x14ac:dyDescent="0.25">
      <c r="A29" s="4" t="s">
        <v>100</v>
      </c>
    </row>
    <row r="30" spans="1:11" x14ac:dyDescent="0.25">
      <c r="A30" t="s">
        <v>101</v>
      </c>
    </row>
    <row r="31" spans="1:11" x14ac:dyDescent="0.25">
      <c r="A31" t="s">
        <v>102</v>
      </c>
    </row>
    <row r="32" spans="1:11" x14ac:dyDescent="0.25">
      <c r="A32" t="s">
        <v>103</v>
      </c>
    </row>
    <row r="33" spans="1:1" x14ac:dyDescent="0.25">
      <c r="A33" t="s">
        <v>104</v>
      </c>
    </row>
    <row r="34" spans="1:1" x14ac:dyDescent="0.25">
      <c r="A34" t="s">
        <v>105</v>
      </c>
    </row>
    <row r="35" spans="1:1" x14ac:dyDescent="0.25">
      <c r="A35" t="s">
        <v>106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120</v>
      </c>
      <c r="B2" s="1" t="s">
        <v>60</v>
      </c>
      <c r="C2" t="s">
        <v>20</v>
      </c>
      <c r="D2" s="1" t="s">
        <v>60</v>
      </c>
      <c r="E2" s="1" t="s">
        <v>60</v>
      </c>
      <c r="F2" s="1">
        <v>2</v>
      </c>
      <c r="G2" s="1">
        <v>2</v>
      </c>
      <c r="H2" s="1" t="s">
        <v>61</v>
      </c>
      <c r="I2" s="1" t="s">
        <v>61</v>
      </c>
      <c r="J2" s="1" t="s">
        <v>61</v>
      </c>
      <c r="K2" s="1">
        <v>2</v>
      </c>
      <c r="L2" s="1">
        <v>2</v>
      </c>
      <c r="M2" t="s">
        <v>121</v>
      </c>
      <c r="N2" t="s">
        <v>122</v>
      </c>
      <c r="O2" t="s">
        <v>123</v>
      </c>
      <c r="P2">
        <v>16.5</v>
      </c>
    </row>
    <row r="3" spans="1:21" x14ac:dyDescent="0.25">
      <c r="H3" s="5" t="s">
        <v>124</v>
      </c>
      <c r="I3" s="5" t="s">
        <v>125</v>
      </c>
      <c r="J3" t="s">
        <v>17</v>
      </c>
      <c r="K3" s="5">
        <v>-2</v>
      </c>
      <c r="L3">
        <v>0</v>
      </c>
      <c r="M3" t="s">
        <v>17</v>
      </c>
      <c r="N3" t="s">
        <v>122</v>
      </c>
      <c r="O3" t="s">
        <v>17</v>
      </c>
      <c r="Q3" t="s">
        <v>419</v>
      </c>
    </row>
    <row r="4" spans="1:21" x14ac:dyDescent="0.25">
      <c r="A4" t="s">
        <v>120</v>
      </c>
      <c r="B4" s="1" t="s">
        <v>71</v>
      </c>
      <c r="C4" t="s">
        <v>20</v>
      </c>
      <c r="D4" s="1" t="s">
        <v>71</v>
      </c>
      <c r="E4" s="1" t="s">
        <v>71</v>
      </c>
      <c r="F4" s="1">
        <v>2</v>
      </c>
      <c r="G4" s="1">
        <v>2</v>
      </c>
      <c r="H4" s="1" t="s">
        <v>72</v>
      </c>
      <c r="I4" s="5" t="s">
        <v>22</v>
      </c>
      <c r="J4" s="1" t="s">
        <v>73</v>
      </c>
      <c r="K4" s="5">
        <v>-1</v>
      </c>
      <c r="L4" s="1">
        <v>2</v>
      </c>
      <c r="M4" t="s">
        <v>126</v>
      </c>
      <c r="N4" t="s">
        <v>17</v>
      </c>
      <c r="O4" t="s">
        <v>127</v>
      </c>
      <c r="P4">
        <v>50</v>
      </c>
      <c r="Q4" t="s">
        <v>420</v>
      </c>
    </row>
    <row r="7" spans="1:21" ht="15.75" x14ac:dyDescent="0.25">
      <c r="A7" s="3" t="s">
        <v>77</v>
      </c>
      <c r="H7" s="3" t="s">
        <v>78</v>
      </c>
    </row>
    <row r="8" spans="1:21" x14ac:dyDescent="0.25">
      <c r="A8" s="4" t="s">
        <v>79</v>
      </c>
      <c r="F8">
        <f>COUNTIFS(B2:B4,"&lt;&gt;*_*",B2:B4,"&lt;&gt;")</f>
        <v>2</v>
      </c>
      <c r="H8" s="4" t="s">
        <v>79</v>
      </c>
      <c r="K8">
        <f>COUNTIFS(B2:B4,"&lt;&gt;*_*",B2:B4,"&lt;&gt;",R2:R4,"&lt;&gt;TRUE")</f>
        <v>2</v>
      </c>
    </row>
    <row r="9" spans="1:21" x14ac:dyDescent="0.25">
      <c r="A9" s="4" t="s">
        <v>80</v>
      </c>
      <c r="F9">
        <f>COUNTIFS(F2:F4,"&gt;0")</f>
        <v>2</v>
      </c>
      <c r="H9" s="4" t="s">
        <v>80</v>
      </c>
      <c r="K9">
        <f>COUNTIFS(F2:F4,"&gt;0",R2:R4,"&lt;&gt;TRUE")</f>
        <v>2</v>
      </c>
    </row>
    <row r="10" spans="1:21" x14ac:dyDescent="0.25">
      <c r="A10" s="4" t="s">
        <v>81</v>
      </c>
      <c r="F10">
        <f>COUNTIFS(G2:G4,"&gt;0")</f>
        <v>2</v>
      </c>
      <c r="H10" s="4" t="s">
        <v>81</v>
      </c>
      <c r="K10">
        <f>COUNTIFS(G2:G4,"&gt;0",S2:S4,"&lt;&gt;TRUE")</f>
        <v>2</v>
      </c>
    </row>
    <row r="11" spans="1:21" x14ac:dyDescent="0.25">
      <c r="A11" s="4" t="s">
        <v>82</v>
      </c>
      <c r="F11">
        <f>COUNTIFS(F2:F4,"&lt;&gt;-1",F2:F4,"&lt;&gt;0",F2:F4,"&lt;2")</f>
        <v>0</v>
      </c>
      <c r="H11" s="4" t="s">
        <v>82</v>
      </c>
      <c r="K11">
        <f>COUNTIFS(F2:F4,"&lt;&gt;-1",F2:F4,"&lt;&gt;0",F2:F4,"&lt;2",R2:R4,"&lt;&gt;TRUE")</f>
        <v>0</v>
      </c>
    </row>
    <row r="12" spans="1:21" x14ac:dyDescent="0.25">
      <c r="A12" s="4" t="s">
        <v>83</v>
      </c>
      <c r="F12">
        <f>COUNTIFS(G2:G4,"&lt;&gt;-1",G2:G4,"&lt;&gt;0",G2:G4,"&lt;2")</f>
        <v>0</v>
      </c>
      <c r="H12" s="4" t="s">
        <v>83</v>
      </c>
      <c r="K12">
        <f>COUNTIFS(G2:G4,"&lt;&gt;-1",G2:G4,"&lt;&gt;0",G2:G4,"&lt;2",S2:S4,"&lt;&gt;TRUE")</f>
        <v>0</v>
      </c>
    </row>
    <row r="13" spans="1:21" x14ac:dyDescent="0.25">
      <c r="A13" s="4" t="s">
        <v>84</v>
      </c>
      <c r="F13">
        <f>COUNTIFS(F2:F4,"=-1")+COUNTIFS(F2:F4,"=-3")</f>
        <v>0</v>
      </c>
      <c r="H13" s="4" t="s">
        <v>84</v>
      </c>
      <c r="K13">
        <f>COUNTIFS(F2:F4,"=-1",R2:R4,"&lt;&gt;TRUE")+COUNTIFS(F2:F4,"=-3",R2:R4,"&lt;&gt;TRUE")</f>
        <v>0</v>
      </c>
    </row>
    <row r="14" spans="1:21" x14ac:dyDescent="0.25">
      <c r="A14" s="4" t="s">
        <v>85</v>
      </c>
      <c r="F14">
        <f>COUNTIFS(G2:G4,"=-1")+COUNTIFS(G2:G4,"=-3")</f>
        <v>0</v>
      </c>
      <c r="H14" s="4" t="s">
        <v>85</v>
      </c>
      <c r="K14">
        <f>COUNTIFS(G2:G4,"=-1",S2:S4,"&lt;&gt;TRUE")+COUNTIFS(G2:G4,"=-3",S2:S4,"&lt;&gt;TRUE")</f>
        <v>0</v>
      </c>
    </row>
    <row r="15" spans="1:21" x14ac:dyDescent="0.25">
      <c r="A15" s="4" t="s">
        <v>86</v>
      </c>
      <c r="F15" s="8">
        <f>F9/F8</f>
        <v>1</v>
      </c>
      <c r="H15" s="4" t="s">
        <v>86</v>
      </c>
      <c r="K15" s="8">
        <f>K9/K8</f>
        <v>1</v>
      </c>
    </row>
    <row r="16" spans="1:21" x14ac:dyDescent="0.25">
      <c r="A16" s="4" t="s">
        <v>87</v>
      </c>
      <c r="F16" s="8">
        <f>F10/F8</f>
        <v>1</v>
      </c>
      <c r="H16" s="4" t="s">
        <v>88</v>
      </c>
      <c r="K16" s="8">
        <f>K10/K8</f>
        <v>1</v>
      </c>
    </row>
    <row r="17" spans="1:11" x14ac:dyDescent="0.25">
      <c r="A17" s="4" t="s">
        <v>89</v>
      </c>
      <c r="F17" s="8">
        <f>F9/(F9+F11)</f>
        <v>1</v>
      </c>
      <c r="H17" s="4" t="s">
        <v>89</v>
      </c>
      <c r="K17" s="8">
        <f>K9/(K9+K11)</f>
        <v>1</v>
      </c>
    </row>
    <row r="18" spans="1:11" x14ac:dyDescent="0.25">
      <c r="A18" s="4" t="s">
        <v>90</v>
      </c>
      <c r="F18" s="8">
        <f>F10/(F10+F12)</f>
        <v>1</v>
      </c>
      <c r="H18" s="4" t="s">
        <v>90</v>
      </c>
      <c r="K18" s="8">
        <f>K10/(K10+K12)</f>
        <v>1</v>
      </c>
    </row>
    <row r="21" spans="1:11" ht="15.75" x14ac:dyDescent="0.25">
      <c r="A21" s="3" t="s">
        <v>91</v>
      </c>
      <c r="H21" s="3" t="s">
        <v>92</v>
      </c>
    </row>
    <row r="22" spans="1:11" x14ac:dyDescent="0.25">
      <c r="A22" s="4" t="s">
        <v>79</v>
      </c>
      <c r="F22">
        <f>COUNTIFS(H2:H4,"&lt;&gt;*_FP",H2:H4,"&lt;&gt;",H2:H4,"&lt;&gt;no structure")</f>
        <v>2</v>
      </c>
      <c r="H22" s="4" t="s">
        <v>79</v>
      </c>
      <c r="K22">
        <f>COUNTIFS(H2:H4,"&lt;&gt;*_FP",H2:H4,"&lt;&gt;",H2:H4,"&lt;&gt;no structure",T2:T4,"&lt;&gt;TRUE")</f>
        <v>2</v>
      </c>
    </row>
    <row r="23" spans="1:11" x14ac:dyDescent="0.25">
      <c r="A23" s="4" t="s">
        <v>80</v>
      </c>
      <c r="F23">
        <f>COUNTIFS(K2:K4,"&gt;0")</f>
        <v>1</v>
      </c>
      <c r="H23" s="4" t="s">
        <v>80</v>
      </c>
      <c r="K23">
        <f>COUNTIFS(K2:K4,"&gt;0",T2:T4,"&lt;&gt;TRUE")</f>
        <v>1</v>
      </c>
    </row>
    <row r="24" spans="1:11" x14ac:dyDescent="0.25">
      <c r="A24" s="4" t="s">
        <v>81</v>
      </c>
      <c r="F24">
        <f>COUNTIFS(L2:L4,"&gt;0")</f>
        <v>2</v>
      </c>
      <c r="H24" s="4" t="s">
        <v>81</v>
      </c>
      <c r="K24">
        <f>COUNTIFS(L2:L4,"&gt;0",U2:U4,"&lt;&gt;TRUE")</f>
        <v>2</v>
      </c>
    </row>
    <row r="25" spans="1:11" x14ac:dyDescent="0.25">
      <c r="A25" s="4" t="s">
        <v>82</v>
      </c>
      <c r="F25">
        <f>COUNTIFS(K2:K4,"&lt;&gt;-1",K2:K4,"&lt;&gt;0",K2:K4,"&lt;2")</f>
        <v>1</v>
      </c>
      <c r="H25" s="4" t="s">
        <v>82</v>
      </c>
      <c r="K25">
        <f>COUNTIFS(K2:K4,"&lt;&gt;-1",K2:K4,"&lt;&gt;0",K2:K4,"&lt;2",T2:T4,"&lt;&gt;TRUE")</f>
        <v>1</v>
      </c>
    </row>
    <row r="26" spans="1:11" x14ac:dyDescent="0.25">
      <c r="A26" s="4" t="s">
        <v>83</v>
      </c>
      <c r="F26">
        <f>COUNTIFS(L2:L4,"&lt;&gt;-1",L2:L4,"&lt;&gt;0",L2:L4,"&lt;2")</f>
        <v>0</v>
      </c>
      <c r="H26" s="4" t="s">
        <v>83</v>
      </c>
      <c r="K26">
        <f>COUNTIFS(L2:L4,"&lt;&gt;-1",L2:L4,"&lt;&gt;0",L2:L4,"&lt;2",U2:U4,"&lt;&gt;TRUE")</f>
        <v>0</v>
      </c>
    </row>
    <row r="27" spans="1:11" x14ac:dyDescent="0.25">
      <c r="A27" s="4" t="s">
        <v>84</v>
      </c>
      <c r="F27">
        <f>COUNTIFS(K2:K4,"=-1")+COUNTIFS(K2:K4,"=-3")</f>
        <v>1</v>
      </c>
      <c r="H27" s="4" t="s">
        <v>84</v>
      </c>
      <c r="K27">
        <f>COUNTIFS(K2:K4,"=-1",T2:T4,"&lt;&gt;TRUE")+COUNTIFS(K2:K4,"=-3",T2:T4,"&lt;&gt;TRUE")</f>
        <v>1</v>
      </c>
    </row>
    <row r="28" spans="1:11" x14ac:dyDescent="0.25">
      <c r="A28" s="4" t="s">
        <v>85</v>
      </c>
      <c r="F28">
        <f>COUNTIFS(L2:L4,"=-1")+COUNTIFS(L2:L4,"=-3")</f>
        <v>0</v>
      </c>
      <c r="H28" s="4" t="s">
        <v>85</v>
      </c>
      <c r="K28">
        <f>COUNTIFS(L2:L4,"=-1",U2:U4,"&lt;&gt;TRUE")+COUNTIFS(L2:L4,"=-3",U2:U4,"&lt;&gt;TRUE")</f>
        <v>0</v>
      </c>
    </row>
    <row r="29" spans="1:11" x14ac:dyDescent="0.25">
      <c r="A29" s="4" t="s">
        <v>86</v>
      </c>
      <c r="F29" s="8">
        <f>F23/F22</f>
        <v>0.5</v>
      </c>
      <c r="H29" s="4" t="s">
        <v>86</v>
      </c>
      <c r="K29" s="8">
        <f>K23/K22</f>
        <v>0.5</v>
      </c>
    </row>
    <row r="30" spans="1:11" x14ac:dyDescent="0.25">
      <c r="A30" s="4" t="s">
        <v>87</v>
      </c>
      <c r="F30" s="8">
        <f>F24/F22</f>
        <v>1</v>
      </c>
      <c r="H30" s="4" t="s">
        <v>88</v>
      </c>
      <c r="K30" s="8">
        <f>K24/K22</f>
        <v>1</v>
      </c>
    </row>
    <row r="31" spans="1:11" x14ac:dyDescent="0.25">
      <c r="A31" s="4" t="s">
        <v>89</v>
      </c>
      <c r="F31" s="8">
        <f>F23/(F23+F25)</f>
        <v>0.5</v>
      </c>
      <c r="H31" s="4" t="s">
        <v>89</v>
      </c>
      <c r="K31" s="8">
        <f>K23/(K23+K25)</f>
        <v>0.5</v>
      </c>
    </row>
    <row r="32" spans="1:11" x14ac:dyDescent="0.25">
      <c r="A32" s="4" t="s">
        <v>90</v>
      </c>
      <c r="F32" s="8">
        <f>F24/(F24+F26)</f>
        <v>1</v>
      </c>
      <c r="H32" s="4" t="s">
        <v>90</v>
      </c>
      <c r="K32" s="8">
        <f>K24/(K24+K26)</f>
        <v>1</v>
      </c>
    </row>
    <row r="35" spans="1:1" ht="15.75" x14ac:dyDescent="0.25">
      <c r="A35" s="3" t="s">
        <v>93</v>
      </c>
    </row>
    <row r="36" spans="1:1" x14ac:dyDescent="0.25">
      <c r="A36" s="1" t="s">
        <v>94</v>
      </c>
    </row>
    <row r="37" spans="1:1" x14ac:dyDescent="0.25">
      <c r="A37" s="5" t="s">
        <v>95</v>
      </c>
    </row>
    <row r="39" spans="1:1" x14ac:dyDescent="0.25">
      <c r="A39" s="1" t="s">
        <v>96</v>
      </c>
    </row>
    <row r="40" spans="1:1" x14ac:dyDescent="0.25">
      <c r="A40" s="6" t="s">
        <v>97</v>
      </c>
    </row>
    <row r="41" spans="1:1" x14ac:dyDescent="0.25">
      <c r="A41" s="7" t="s">
        <v>98</v>
      </c>
    </row>
    <row r="42" spans="1:1" x14ac:dyDescent="0.25">
      <c r="A42" s="5" t="s">
        <v>99</v>
      </c>
    </row>
    <row r="44" spans="1:1" x14ac:dyDescent="0.25">
      <c r="A44" s="4" t="s">
        <v>100</v>
      </c>
    </row>
    <row r="45" spans="1:1" x14ac:dyDescent="0.25">
      <c r="A45" t="s">
        <v>101</v>
      </c>
    </row>
    <row r="46" spans="1:1" x14ac:dyDescent="0.25">
      <c r="A46" t="s">
        <v>102</v>
      </c>
    </row>
    <row r="47" spans="1:1" x14ac:dyDescent="0.25">
      <c r="A47" t="s">
        <v>103</v>
      </c>
    </row>
    <row r="48" spans="1:1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topLeftCell="A70" workbookViewId="0"/>
  </sheetViews>
  <sheetFormatPr baseColWidth="10" defaultColWidth="8.85546875" defaultRowHeight="15" x14ac:dyDescent="0.25"/>
  <cols>
    <col min="2" max="2" width="11" customWidth="1"/>
    <col min="4" max="5" width="13" customWidth="1"/>
    <col min="6" max="6" width="10" customWidth="1"/>
    <col min="7" max="7" width="9.140625" customWidth="1"/>
    <col min="8" max="8" width="13" customWidth="1"/>
    <col min="9" max="9" width="11" customWidth="1"/>
    <col min="10" max="10" width="12" customWidth="1"/>
    <col min="11" max="11" width="8.5703125" customWidth="1"/>
    <col min="12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128</v>
      </c>
      <c r="B2" s="1" t="s">
        <v>129</v>
      </c>
      <c r="C2" t="s">
        <v>130</v>
      </c>
      <c r="D2" s="1" t="s">
        <v>129</v>
      </c>
      <c r="E2" s="1" t="s">
        <v>129</v>
      </c>
      <c r="F2" s="1">
        <v>2</v>
      </c>
      <c r="G2" s="1">
        <v>2</v>
      </c>
      <c r="H2" s="1" t="s">
        <v>131</v>
      </c>
      <c r="I2" s="1" t="s">
        <v>131</v>
      </c>
      <c r="J2" s="1" t="s">
        <v>131</v>
      </c>
      <c r="K2" s="1">
        <v>2</v>
      </c>
      <c r="L2" s="1">
        <v>2</v>
      </c>
      <c r="M2" t="s">
        <v>132</v>
      </c>
      <c r="N2" t="s">
        <v>133</v>
      </c>
      <c r="O2" t="s">
        <v>134</v>
      </c>
      <c r="P2">
        <v>18.5</v>
      </c>
    </row>
    <row r="3" spans="1:21" x14ac:dyDescent="0.25">
      <c r="H3" s="5" t="s">
        <v>135</v>
      </c>
      <c r="I3" t="s">
        <v>22</v>
      </c>
      <c r="J3" s="5" t="s">
        <v>136</v>
      </c>
      <c r="K3">
        <v>0</v>
      </c>
      <c r="L3" s="5">
        <v>-2</v>
      </c>
      <c r="M3" t="s">
        <v>17</v>
      </c>
      <c r="N3" t="s">
        <v>17</v>
      </c>
      <c r="O3" s="11">
        <v>26.349699999999999</v>
      </c>
      <c r="P3">
        <v>2.7</v>
      </c>
      <c r="Q3" t="s">
        <v>421</v>
      </c>
    </row>
    <row r="4" spans="1:21" x14ac:dyDescent="0.25">
      <c r="A4" t="s">
        <v>128</v>
      </c>
      <c r="B4" s="1" t="s">
        <v>129</v>
      </c>
      <c r="C4" t="s">
        <v>137</v>
      </c>
      <c r="D4" s="1" t="s">
        <v>129</v>
      </c>
      <c r="E4" s="1" t="s">
        <v>129</v>
      </c>
      <c r="F4" s="1">
        <v>2</v>
      </c>
      <c r="G4" s="1">
        <v>2</v>
      </c>
      <c r="H4" s="1" t="s">
        <v>131</v>
      </c>
      <c r="I4" s="1" t="s">
        <v>131</v>
      </c>
      <c r="J4" s="1" t="s">
        <v>131</v>
      </c>
      <c r="K4" s="1">
        <v>2</v>
      </c>
      <c r="L4" s="1">
        <v>2</v>
      </c>
      <c r="M4" t="s">
        <v>132</v>
      </c>
      <c r="N4" t="s">
        <v>112</v>
      </c>
      <c r="O4" t="s">
        <v>138</v>
      </c>
      <c r="P4">
        <v>6.9</v>
      </c>
      <c r="R4" t="b">
        <v>1</v>
      </c>
      <c r="S4" t="b">
        <v>1</v>
      </c>
      <c r="T4" t="b">
        <v>1</v>
      </c>
      <c r="U4" t="b">
        <v>1</v>
      </c>
    </row>
    <row r="5" spans="1:21" x14ac:dyDescent="0.25">
      <c r="H5" s="5" t="s">
        <v>139</v>
      </c>
      <c r="I5" s="5" t="s">
        <v>140</v>
      </c>
      <c r="J5" t="s">
        <v>17</v>
      </c>
      <c r="K5" s="5">
        <v>-2</v>
      </c>
      <c r="L5">
        <v>0</v>
      </c>
      <c r="M5" t="s">
        <v>17</v>
      </c>
      <c r="N5" t="s">
        <v>112</v>
      </c>
      <c r="O5" t="s">
        <v>17</v>
      </c>
      <c r="Q5" t="s">
        <v>422</v>
      </c>
    </row>
    <row r="6" spans="1:21" x14ac:dyDescent="0.25">
      <c r="A6" t="s">
        <v>128</v>
      </c>
      <c r="B6" s="1" t="s">
        <v>141</v>
      </c>
      <c r="C6" t="s">
        <v>130</v>
      </c>
      <c r="D6" t="s">
        <v>142</v>
      </c>
      <c r="E6" t="s">
        <v>22</v>
      </c>
      <c r="F6">
        <v>0</v>
      </c>
      <c r="G6">
        <v>0</v>
      </c>
      <c r="M6" t="s">
        <v>143</v>
      </c>
      <c r="N6" t="s">
        <v>144</v>
      </c>
      <c r="O6" t="s">
        <v>17</v>
      </c>
      <c r="Q6" t="s">
        <v>145</v>
      </c>
    </row>
    <row r="7" spans="1:21" x14ac:dyDescent="0.25">
      <c r="A7" t="s">
        <v>128</v>
      </c>
      <c r="B7" s="1" t="s">
        <v>146</v>
      </c>
      <c r="C7" t="s">
        <v>130</v>
      </c>
      <c r="D7" t="s">
        <v>147</v>
      </c>
      <c r="E7" t="s">
        <v>22</v>
      </c>
      <c r="F7">
        <v>0</v>
      </c>
      <c r="G7">
        <v>0</v>
      </c>
      <c r="M7" t="s">
        <v>148</v>
      </c>
      <c r="N7" t="s">
        <v>149</v>
      </c>
      <c r="O7" t="s">
        <v>17</v>
      </c>
      <c r="Q7" t="s">
        <v>145</v>
      </c>
    </row>
    <row r="8" spans="1:21" x14ac:dyDescent="0.25">
      <c r="A8" t="s">
        <v>128</v>
      </c>
      <c r="B8" s="1" t="s">
        <v>150</v>
      </c>
      <c r="C8" t="s">
        <v>130</v>
      </c>
      <c r="D8" t="s">
        <v>151</v>
      </c>
      <c r="E8" t="s">
        <v>22</v>
      </c>
      <c r="F8">
        <v>0</v>
      </c>
      <c r="G8">
        <v>0</v>
      </c>
      <c r="M8" t="s">
        <v>152</v>
      </c>
      <c r="N8" t="s">
        <v>153</v>
      </c>
      <c r="O8" t="s">
        <v>17</v>
      </c>
      <c r="Q8" t="s">
        <v>145</v>
      </c>
    </row>
    <row r="9" spans="1:21" x14ac:dyDescent="0.25">
      <c r="A9" t="s">
        <v>128</v>
      </c>
      <c r="B9" s="1" t="s">
        <v>154</v>
      </c>
      <c r="C9" t="s">
        <v>130</v>
      </c>
      <c r="D9" t="s">
        <v>155</v>
      </c>
      <c r="E9" s="5" t="s">
        <v>155</v>
      </c>
      <c r="F9">
        <v>0</v>
      </c>
      <c r="G9" s="5">
        <v>-2</v>
      </c>
      <c r="H9" s="5" t="s">
        <v>156</v>
      </c>
      <c r="I9" t="s">
        <v>22</v>
      </c>
      <c r="J9" s="5" t="s">
        <v>157</v>
      </c>
      <c r="K9">
        <v>0</v>
      </c>
      <c r="L9" s="5">
        <v>-2</v>
      </c>
      <c r="M9" t="s">
        <v>17</v>
      </c>
      <c r="N9" t="s">
        <v>17</v>
      </c>
      <c r="O9" s="11">
        <v>26.62022</v>
      </c>
      <c r="P9">
        <v>50</v>
      </c>
      <c r="Q9" t="s">
        <v>423</v>
      </c>
    </row>
    <row r="10" spans="1:21" x14ac:dyDescent="0.25">
      <c r="A10" t="s">
        <v>128</v>
      </c>
      <c r="B10" s="1" t="s">
        <v>158</v>
      </c>
      <c r="C10" t="s">
        <v>130</v>
      </c>
      <c r="D10" s="1" t="s">
        <v>158</v>
      </c>
      <c r="E10" s="1" t="s">
        <v>158</v>
      </c>
      <c r="F10" s="1">
        <v>2</v>
      </c>
      <c r="G10" s="1">
        <v>2</v>
      </c>
      <c r="H10" s="1" t="s">
        <v>159</v>
      </c>
      <c r="I10" s="1" t="s">
        <v>159</v>
      </c>
      <c r="J10" s="1" t="s">
        <v>159</v>
      </c>
      <c r="K10" s="1">
        <v>2</v>
      </c>
      <c r="L10" s="1">
        <v>2</v>
      </c>
      <c r="M10" t="s">
        <v>160</v>
      </c>
      <c r="N10" t="s">
        <v>161</v>
      </c>
      <c r="O10" t="s">
        <v>162</v>
      </c>
      <c r="P10">
        <v>5.5</v>
      </c>
    </row>
    <row r="11" spans="1:21" x14ac:dyDescent="0.25">
      <c r="A11" t="s">
        <v>128</v>
      </c>
      <c r="B11" s="1" t="s">
        <v>26</v>
      </c>
      <c r="C11" t="s">
        <v>130</v>
      </c>
      <c r="D11" s="1" t="s">
        <v>26</v>
      </c>
      <c r="E11" s="1" t="s">
        <v>26</v>
      </c>
      <c r="F11" s="1">
        <v>2</v>
      </c>
      <c r="G11" s="1">
        <v>2</v>
      </c>
      <c r="H11" s="1" t="s">
        <v>27</v>
      </c>
      <c r="I11" s="1" t="s">
        <v>27</v>
      </c>
      <c r="J11" s="1" t="s">
        <v>27</v>
      </c>
      <c r="K11" s="1">
        <v>2</v>
      </c>
      <c r="L11" s="1">
        <v>2</v>
      </c>
      <c r="M11" t="s">
        <v>163</v>
      </c>
      <c r="N11" t="s">
        <v>164</v>
      </c>
      <c r="O11" t="s">
        <v>165</v>
      </c>
      <c r="P11">
        <v>8.1</v>
      </c>
    </row>
    <row r="12" spans="1:21" x14ac:dyDescent="0.25">
      <c r="A12" t="s">
        <v>128</v>
      </c>
      <c r="B12" s="1" t="s">
        <v>26</v>
      </c>
      <c r="C12" t="s">
        <v>137</v>
      </c>
      <c r="D12" s="1" t="s">
        <v>26</v>
      </c>
      <c r="E12" s="1" t="s">
        <v>26</v>
      </c>
      <c r="F12" s="1">
        <v>2</v>
      </c>
      <c r="G12" s="1">
        <v>2</v>
      </c>
      <c r="H12" s="1" t="s">
        <v>27</v>
      </c>
      <c r="I12" s="1" t="s">
        <v>27</v>
      </c>
      <c r="J12" s="1" t="s">
        <v>27</v>
      </c>
      <c r="K12" s="1">
        <v>2</v>
      </c>
      <c r="L12" s="1">
        <v>2</v>
      </c>
      <c r="M12" t="s">
        <v>163</v>
      </c>
      <c r="N12" t="s">
        <v>164</v>
      </c>
      <c r="O12" t="s">
        <v>166</v>
      </c>
      <c r="P12">
        <v>15.9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128</v>
      </c>
      <c r="B13" s="1" t="s">
        <v>167</v>
      </c>
      <c r="C13" t="s">
        <v>130</v>
      </c>
      <c r="D13" s="1" t="s">
        <v>167</v>
      </c>
      <c r="E13" s="1" t="s">
        <v>167</v>
      </c>
      <c r="F13" s="1">
        <v>2</v>
      </c>
      <c r="G13" s="1">
        <v>2</v>
      </c>
      <c r="H13" s="1" t="s">
        <v>168</v>
      </c>
      <c r="I13" s="1" t="s">
        <v>168</v>
      </c>
      <c r="J13" s="1" t="s">
        <v>168</v>
      </c>
      <c r="K13" s="1">
        <v>2</v>
      </c>
      <c r="L13" s="1">
        <v>2</v>
      </c>
      <c r="M13" t="s">
        <v>169</v>
      </c>
      <c r="N13" t="s">
        <v>122</v>
      </c>
      <c r="O13" t="s">
        <v>170</v>
      </c>
      <c r="P13">
        <v>4.0999999999999996</v>
      </c>
    </row>
    <row r="14" spans="1:21" x14ac:dyDescent="0.25">
      <c r="H14" s="1" t="s">
        <v>171</v>
      </c>
      <c r="I14" s="1" t="s">
        <v>172</v>
      </c>
      <c r="J14" s="5" t="s">
        <v>22</v>
      </c>
      <c r="K14" s="1">
        <v>2</v>
      </c>
      <c r="L14" s="5">
        <v>-1</v>
      </c>
      <c r="M14" t="s">
        <v>169</v>
      </c>
      <c r="N14" t="s">
        <v>122</v>
      </c>
      <c r="O14" t="s">
        <v>17</v>
      </c>
    </row>
    <row r="15" spans="1:21" x14ac:dyDescent="0.25">
      <c r="A15" t="s">
        <v>128</v>
      </c>
      <c r="B15" s="1" t="s">
        <v>173</v>
      </c>
      <c r="C15" t="s">
        <v>130</v>
      </c>
      <c r="D15" t="s">
        <v>174</v>
      </c>
      <c r="E15" t="s">
        <v>22</v>
      </c>
      <c r="F15">
        <v>0</v>
      </c>
      <c r="G15">
        <v>0</v>
      </c>
      <c r="M15" t="s">
        <v>74</v>
      </c>
      <c r="N15" t="s">
        <v>175</v>
      </c>
      <c r="O15" t="s">
        <v>17</v>
      </c>
      <c r="Q15" t="s">
        <v>145</v>
      </c>
    </row>
    <row r="16" spans="1:21" x14ac:dyDescent="0.25">
      <c r="A16" t="s">
        <v>128</v>
      </c>
      <c r="B16" s="1" t="s">
        <v>176</v>
      </c>
      <c r="C16" t="s">
        <v>130</v>
      </c>
      <c r="D16" t="s">
        <v>177</v>
      </c>
      <c r="E16" t="s">
        <v>22</v>
      </c>
      <c r="F16">
        <v>0</v>
      </c>
      <c r="G16">
        <v>0</v>
      </c>
      <c r="M16" t="s">
        <v>178</v>
      </c>
      <c r="N16" t="s">
        <v>179</v>
      </c>
      <c r="O16" t="s">
        <v>17</v>
      </c>
      <c r="Q16" t="s">
        <v>145</v>
      </c>
    </row>
    <row r="17" spans="1:21" x14ac:dyDescent="0.25">
      <c r="A17" t="s">
        <v>128</v>
      </c>
      <c r="B17" s="1" t="s">
        <v>180</v>
      </c>
      <c r="C17" t="s">
        <v>130</v>
      </c>
      <c r="D17" t="s">
        <v>181</v>
      </c>
      <c r="E17" t="s">
        <v>22</v>
      </c>
      <c r="F17">
        <v>0</v>
      </c>
      <c r="G17">
        <v>0</v>
      </c>
      <c r="M17" t="s">
        <v>74</v>
      </c>
      <c r="N17" t="s">
        <v>175</v>
      </c>
      <c r="O17" t="s">
        <v>17</v>
      </c>
      <c r="Q17" t="s">
        <v>145</v>
      </c>
    </row>
    <row r="18" spans="1:21" x14ac:dyDescent="0.25">
      <c r="A18" t="s">
        <v>128</v>
      </c>
      <c r="B18" s="5" t="s">
        <v>182</v>
      </c>
      <c r="C18" t="s">
        <v>137</v>
      </c>
      <c r="D18" s="5" t="s">
        <v>183</v>
      </c>
      <c r="E18" s="5" t="s">
        <v>183</v>
      </c>
      <c r="F18" s="5">
        <v>-2</v>
      </c>
      <c r="G18" s="5">
        <v>-2</v>
      </c>
      <c r="H18" s="5" t="s">
        <v>184</v>
      </c>
      <c r="I18" s="5" t="s">
        <v>185</v>
      </c>
      <c r="J18" s="5" t="s">
        <v>185</v>
      </c>
      <c r="K18" s="5">
        <v>-2</v>
      </c>
      <c r="L18" s="5">
        <v>-2</v>
      </c>
      <c r="M18" t="s">
        <v>17</v>
      </c>
      <c r="N18" t="s">
        <v>186</v>
      </c>
      <c r="O18" t="s">
        <v>187</v>
      </c>
      <c r="P18">
        <v>25.9</v>
      </c>
      <c r="Q18" t="s">
        <v>424</v>
      </c>
    </row>
    <row r="19" spans="1:21" x14ac:dyDescent="0.25">
      <c r="A19" t="s">
        <v>128</v>
      </c>
      <c r="B19" s="1" t="s">
        <v>188</v>
      </c>
      <c r="C19" t="s">
        <v>130</v>
      </c>
      <c r="D19" s="1" t="s">
        <v>188</v>
      </c>
      <c r="E19" s="6" t="s">
        <v>188</v>
      </c>
      <c r="F19" s="1">
        <v>2</v>
      </c>
      <c r="G19" s="6">
        <v>1</v>
      </c>
      <c r="H19" s="1" t="s">
        <v>189</v>
      </c>
      <c r="I19" s="1" t="s">
        <v>189</v>
      </c>
      <c r="J19" s="6" t="s">
        <v>189</v>
      </c>
      <c r="K19" s="1">
        <v>2</v>
      </c>
      <c r="L19" s="6">
        <v>1</v>
      </c>
      <c r="M19" t="s">
        <v>190</v>
      </c>
      <c r="N19" t="s">
        <v>191</v>
      </c>
      <c r="O19" t="s">
        <v>192</v>
      </c>
      <c r="P19">
        <v>5.5</v>
      </c>
      <c r="Q19" t="s">
        <v>425</v>
      </c>
      <c r="S19" t="b">
        <v>1</v>
      </c>
      <c r="U19" t="b">
        <v>1</v>
      </c>
    </row>
    <row r="20" spans="1:21" x14ac:dyDescent="0.25">
      <c r="H20" s="5" t="s">
        <v>193</v>
      </c>
      <c r="I20" t="s">
        <v>22</v>
      </c>
      <c r="J20" s="5" t="s">
        <v>194</v>
      </c>
      <c r="K20">
        <v>0</v>
      </c>
      <c r="L20" s="5">
        <v>-2</v>
      </c>
      <c r="M20" t="s">
        <v>17</v>
      </c>
      <c r="N20" t="s">
        <v>17</v>
      </c>
      <c r="O20" t="s">
        <v>195</v>
      </c>
      <c r="P20">
        <v>12.5</v>
      </c>
      <c r="Q20" t="s">
        <v>424</v>
      </c>
    </row>
    <row r="21" spans="1:21" x14ac:dyDescent="0.25">
      <c r="A21" t="s">
        <v>128</v>
      </c>
      <c r="B21" s="1" t="s">
        <v>188</v>
      </c>
      <c r="C21" t="s">
        <v>137</v>
      </c>
      <c r="D21" s="1" t="s">
        <v>188</v>
      </c>
      <c r="E21" s="1" t="s">
        <v>188</v>
      </c>
      <c r="F21" s="1">
        <v>2</v>
      </c>
      <c r="G21" s="1">
        <v>2</v>
      </c>
      <c r="H21" s="1" t="s">
        <v>189</v>
      </c>
      <c r="I21" s="1" t="s">
        <v>196</v>
      </c>
      <c r="J21" s="1" t="s">
        <v>189</v>
      </c>
      <c r="K21" s="1">
        <v>2</v>
      </c>
      <c r="L21" s="1">
        <v>2</v>
      </c>
      <c r="M21" t="s">
        <v>190</v>
      </c>
      <c r="N21" t="s">
        <v>191</v>
      </c>
      <c r="O21" t="s">
        <v>197</v>
      </c>
      <c r="P21">
        <v>6.1</v>
      </c>
      <c r="R21" t="b">
        <v>1</v>
      </c>
      <c r="T21" t="b">
        <v>1</v>
      </c>
    </row>
    <row r="22" spans="1:21" x14ac:dyDescent="0.25">
      <c r="A22" t="s">
        <v>128</v>
      </c>
      <c r="B22" s="1" t="s">
        <v>35</v>
      </c>
      <c r="C22" t="s">
        <v>130</v>
      </c>
      <c r="D22" s="1" t="s">
        <v>35</v>
      </c>
      <c r="E22" s="1" t="s">
        <v>35</v>
      </c>
      <c r="F22" s="1">
        <v>2</v>
      </c>
      <c r="G22" s="1">
        <v>2</v>
      </c>
      <c r="H22" s="1" t="s">
        <v>198</v>
      </c>
      <c r="I22" s="1" t="s">
        <v>198</v>
      </c>
      <c r="J22" s="1" t="s">
        <v>198</v>
      </c>
      <c r="K22" s="1">
        <v>2</v>
      </c>
      <c r="L22" s="1">
        <v>2</v>
      </c>
      <c r="M22" t="s">
        <v>152</v>
      </c>
      <c r="N22" t="s">
        <v>199</v>
      </c>
      <c r="O22" t="s">
        <v>200</v>
      </c>
      <c r="P22">
        <v>7.8</v>
      </c>
    </row>
    <row r="23" spans="1:21" x14ac:dyDescent="0.25">
      <c r="A23" t="s">
        <v>128</v>
      </c>
      <c r="B23" s="1" t="s">
        <v>35</v>
      </c>
      <c r="C23" t="s">
        <v>137</v>
      </c>
      <c r="D23" s="1" t="s">
        <v>35</v>
      </c>
      <c r="E23" s="1" t="s">
        <v>35</v>
      </c>
      <c r="F23" s="1">
        <v>2</v>
      </c>
      <c r="G23" s="1">
        <v>2</v>
      </c>
      <c r="H23" s="1" t="s">
        <v>198</v>
      </c>
      <c r="I23" s="1" t="s">
        <v>198</v>
      </c>
      <c r="J23" s="1" t="s">
        <v>198</v>
      </c>
      <c r="K23" s="1">
        <v>2</v>
      </c>
      <c r="L23" s="1">
        <v>2</v>
      </c>
      <c r="M23" t="s">
        <v>152</v>
      </c>
      <c r="N23" t="s">
        <v>199</v>
      </c>
      <c r="O23" t="s">
        <v>201</v>
      </c>
      <c r="P23">
        <v>16</v>
      </c>
      <c r="R23" t="b">
        <v>1</v>
      </c>
      <c r="S23" t="b">
        <v>1</v>
      </c>
      <c r="T23" t="b">
        <v>1</v>
      </c>
      <c r="U23" t="b">
        <v>1</v>
      </c>
    </row>
    <row r="24" spans="1:21" x14ac:dyDescent="0.25">
      <c r="A24" t="s">
        <v>128</v>
      </c>
      <c r="B24" s="1" t="s">
        <v>39</v>
      </c>
      <c r="C24" t="s">
        <v>130</v>
      </c>
      <c r="D24" s="1" t="s">
        <v>39</v>
      </c>
      <c r="E24" s="1" t="s">
        <v>39</v>
      </c>
      <c r="F24" s="1">
        <v>2</v>
      </c>
      <c r="G24" s="1">
        <v>2</v>
      </c>
      <c r="H24" s="1" t="s">
        <v>43</v>
      </c>
      <c r="I24" s="1" t="s">
        <v>43</v>
      </c>
      <c r="J24" s="1" t="s">
        <v>202</v>
      </c>
      <c r="K24" s="1">
        <v>2</v>
      </c>
      <c r="L24" s="1">
        <v>2</v>
      </c>
      <c r="M24" t="s">
        <v>203</v>
      </c>
      <c r="N24" t="s">
        <v>204</v>
      </c>
      <c r="O24" t="s">
        <v>205</v>
      </c>
      <c r="P24">
        <v>8.3000000000000007</v>
      </c>
    </row>
    <row r="25" spans="1:21" x14ac:dyDescent="0.25">
      <c r="H25" s="1" t="s">
        <v>40</v>
      </c>
      <c r="I25" s="1" t="s">
        <v>40</v>
      </c>
      <c r="J25" s="1" t="s">
        <v>40</v>
      </c>
      <c r="K25" s="1">
        <v>2</v>
      </c>
      <c r="L25" s="1">
        <v>2</v>
      </c>
      <c r="M25" t="s">
        <v>203</v>
      </c>
      <c r="N25" t="s">
        <v>204</v>
      </c>
      <c r="O25" t="s">
        <v>206</v>
      </c>
      <c r="P25">
        <v>1</v>
      </c>
    </row>
    <row r="26" spans="1:21" x14ac:dyDescent="0.25">
      <c r="A26" t="s">
        <v>128</v>
      </c>
      <c r="B26" s="1" t="s">
        <v>39</v>
      </c>
      <c r="C26" t="s">
        <v>137</v>
      </c>
      <c r="D26" s="1" t="s">
        <v>39</v>
      </c>
      <c r="E26" s="1" t="s">
        <v>39</v>
      </c>
      <c r="F26" s="1">
        <v>2</v>
      </c>
      <c r="G26" s="1">
        <v>2</v>
      </c>
      <c r="H26" s="1" t="s">
        <v>43</v>
      </c>
      <c r="I26" s="1" t="s">
        <v>43</v>
      </c>
      <c r="J26" s="5" t="s">
        <v>22</v>
      </c>
      <c r="K26" s="1">
        <v>2</v>
      </c>
      <c r="L26" s="5">
        <v>-1</v>
      </c>
      <c r="M26" t="s">
        <v>203</v>
      </c>
      <c r="N26" t="s">
        <v>207</v>
      </c>
      <c r="O26" t="s">
        <v>17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H27" s="1" t="s">
        <v>40</v>
      </c>
      <c r="I27" s="1" t="s">
        <v>40</v>
      </c>
      <c r="J27" s="1" t="s">
        <v>40</v>
      </c>
      <c r="K27" s="1">
        <v>2</v>
      </c>
      <c r="L27" s="1">
        <v>2</v>
      </c>
      <c r="M27" t="s">
        <v>203</v>
      </c>
      <c r="N27" t="s">
        <v>207</v>
      </c>
      <c r="O27" t="s">
        <v>208</v>
      </c>
      <c r="P27">
        <v>1.8</v>
      </c>
      <c r="T27" t="b">
        <v>1</v>
      </c>
      <c r="U27" t="b">
        <v>1</v>
      </c>
    </row>
    <row r="28" spans="1:21" x14ac:dyDescent="0.25">
      <c r="A28" t="s">
        <v>128</v>
      </c>
      <c r="B28" s="1" t="s">
        <v>45</v>
      </c>
      <c r="C28" t="s">
        <v>130</v>
      </c>
      <c r="D28" s="1" t="s">
        <v>45</v>
      </c>
      <c r="E28" s="1" t="s">
        <v>45</v>
      </c>
      <c r="F28" s="1">
        <v>2</v>
      </c>
      <c r="G28" s="1">
        <v>2</v>
      </c>
      <c r="H28" s="1" t="s">
        <v>46</v>
      </c>
      <c r="I28" s="1" t="s">
        <v>46</v>
      </c>
      <c r="J28" s="1" t="s">
        <v>46</v>
      </c>
      <c r="K28" s="1">
        <v>2</v>
      </c>
      <c r="L28" s="1">
        <v>2</v>
      </c>
      <c r="M28" t="s">
        <v>143</v>
      </c>
      <c r="N28" t="s">
        <v>209</v>
      </c>
      <c r="O28" t="s">
        <v>210</v>
      </c>
      <c r="P28">
        <v>15.1</v>
      </c>
    </row>
    <row r="29" spans="1:21" x14ac:dyDescent="0.25">
      <c r="A29" t="s">
        <v>128</v>
      </c>
      <c r="B29" s="1" t="s">
        <v>45</v>
      </c>
      <c r="C29" t="s">
        <v>137</v>
      </c>
      <c r="D29" s="1" t="s">
        <v>45</v>
      </c>
      <c r="E29" s="1" t="s">
        <v>45</v>
      </c>
      <c r="F29" s="1">
        <v>2</v>
      </c>
      <c r="G29" s="1">
        <v>2</v>
      </c>
      <c r="H29" s="1" t="s">
        <v>46</v>
      </c>
      <c r="I29" s="1" t="s">
        <v>46</v>
      </c>
      <c r="J29" s="1" t="s">
        <v>46</v>
      </c>
      <c r="K29" s="1">
        <v>2</v>
      </c>
      <c r="L29" s="1">
        <v>2</v>
      </c>
      <c r="M29" t="s">
        <v>143</v>
      </c>
      <c r="N29" t="s">
        <v>209</v>
      </c>
      <c r="O29" t="s">
        <v>211</v>
      </c>
      <c r="P29">
        <v>31.7</v>
      </c>
      <c r="R29" t="b">
        <v>1</v>
      </c>
      <c r="S29" t="b">
        <v>1</v>
      </c>
      <c r="T29" t="b">
        <v>1</v>
      </c>
      <c r="U29" t="b">
        <v>1</v>
      </c>
    </row>
    <row r="30" spans="1:21" x14ac:dyDescent="0.25">
      <c r="A30" t="s">
        <v>128</v>
      </c>
      <c r="B30" s="1" t="s">
        <v>212</v>
      </c>
      <c r="C30" t="s">
        <v>130</v>
      </c>
      <c r="D30" t="s">
        <v>213</v>
      </c>
      <c r="E30" t="s">
        <v>22</v>
      </c>
      <c r="F30">
        <v>0</v>
      </c>
      <c r="G30">
        <v>0</v>
      </c>
      <c r="M30" t="s">
        <v>214</v>
      </c>
      <c r="N30" t="s">
        <v>215</v>
      </c>
      <c r="O30" t="s">
        <v>17</v>
      </c>
      <c r="Q30" t="s">
        <v>145</v>
      </c>
    </row>
    <row r="31" spans="1:21" x14ac:dyDescent="0.25">
      <c r="A31" t="s">
        <v>128</v>
      </c>
      <c r="B31" s="1" t="s">
        <v>212</v>
      </c>
      <c r="C31" t="s">
        <v>137</v>
      </c>
      <c r="D31" t="s">
        <v>213</v>
      </c>
      <c r="E31" t="s">
        <v>22</v>
      </c>
      <c r="F31">
        <v>0</v>
      </c>
      <c r="G31">
        <v>0</v>
      </c>
      <c r="M31" t="s">
        <v>214</v>
      </c>
      <c r="N31" t="s">
        <v>216</v>
      </c>
      <c r="O31" t="s">
        <v>17</v>
      </c>
      <c r="Q31" t="s">
        <v>145</v>
      </c>
      <c r="R31" t="b">
        <v>1</v>
      </c>
      <c r="S31" t="b">
        <v>1</v>
      </c>
    </row>
    <row r="32" spans="1:21" x14ac:dyDescent="0.25">
      <c r="A32" t="s">
        <v>128</v>
      </c>
      <c r="B32" s="1" t="s">
        <v>217</v>
      </c>
      <c r="C32" t="s">
        <v>130</v>
      </c>
      <c r="D32" t="s">
        <v>53</v>
      </c>
      <c r="E32" t="s">
        <v>22</v>
      </c>
      <c r="F32">
        <v>0</v>
      </c>
      <c r="G32">
        <v>0</v>
      </c>
      <c r="M32" t="s">
        <v>218</v>
      </c>
      <c r="N32" t="s">
        <v>219</v>
      </c>
      <c r="O32" t="s">
        <v>17</v>
      </c>
      <c r="Q32" t="s">
        <v>145</v>
      </c>
    </row>
    <row r="33" spans="1:21" x14ac:dyDescent="0.25">
      <c r="A33" t="s">
        <v>128</v>
      </c>
      <c r="B33" s="9" t="s">
        <v>220</v>
      </c>
      <c r="C33" t="s">
        <v>130</v>
      </c>
      <c r="D33" s="5" t="s">
        <v>22</v>
      </c>
      <c r="E33" s="1" t="s">
        <v>220</v>
      </c>
      <c r="F33" s="5">
        <v>-1</v>
      </c>
      <c r="G33" s="1">
        <v>2</v>
      </c>
      <c r="H33" s="1" t="s">
        <v>221</v>
      </c>
      <c r="I33" s="5" t="s">
        <v>22</v>
      </c>
      <c r="J33" s="1" t="s">
        <v>222</v>
      </c>
      <c r="K33" s="5">
        <v>-1</v>
      </c>
      <c r="L33" s="1">
        <v>2</v>
      </c>
      <c r="M33" t="s">
        <v>223</v>
      </c>
      <c r="N33" t="s">
        <v>17</v>
      </c>
      <c r="O33">
        <v>29.47118</v>
      </c>
      <c r="P33">
        <v>3</v>
      </c>
      <c r="Q33" t="s">
        <v>427</v>
      </c>
    </row>
    <row r="34" spans="1:21" x14ac:dyDescent="0.25">
      <c r="H34" s="5" t="s">
        <v>224</v>
      </c>
      <c r="I34" t="s">
        <v>22</v>
      </c>
      <c r="J34" s="5" t="s">
        <v>225</v>
      </c>
      <c r="K34">
        <v>0</v>
      </c>
      <c r="L34" s="5">
        <v>-2</v>
      </c>
      <c r="M34" t="s">
        <v>17</v>
      </c>
      <c r="N34" t="s">
        <v>17</v>
      </c>
      <c r="O34" t="s">
        <v>226</v>
      </c>
      <c r="P34">
        <v>3</v>
      </c>
      <c r="Q34" t="s">
        <v>426</v>
      </c>
    </row>
    <row r="35" spans="1:21" x14ac:dyDescent="0.25">
      <c r="A35" t="s">
        <v>128</v>
      </c>
      <c r="B35" s="1" t="s">
        <v>58</v>
      </c>
      <c r="C35" t="s">
        <v>130</v>
      </c>
      <c r="D35" s="1" t="s">
        <v>58</v>
      </c>
      <c r="E35" s="6" t="s">
        <v>58</v>
      </c>
      <c r="F35" s="1">
        <v>2</v>
      </c>
      <c r="G35" s="6">
        <v>1</v>
      </c>
      <c r="H35" s="1" t="s">
        <v>227</v>
      </c>
      <c r="I35" s="1" t="s">
        <v>227</v>
      </c>
      <c r="J35" s="6" t="s">
        <v>59</v>
      </c>
      <c r="K35" s="1">
        <v>2</v>
      </c>
      <c r="L35" s="6">
        <v>1</v>
      </c>
      <c r="M35" t="s">
        <v>228</v>
      </c>
      <c r="N35" t="s">
        <v>229</v>
      </c>
      <c r="O35" t="s">
        <v>230</v>
      </c>
      <c r="P35">
        <v>21.3</v>
      </c>
      <c r="Q35" t="s">
        <v>428</v>
      </c>
      <c r="S35" t="b">
        <v>1</v>
      </c>
      <c r="U35" t="b">
        <v>1</v>
      </c>
    </row>
    <row r="36" spans="1:21" x14ac:dyDescent="0.25">
      <c r="A36" t="s">
        <v>128</v>
      </c>
      <c r="B36" s="1" t="s">
        <v>58</v>
      </c>
      <c r="C36" t="s">
        <v>137</v>
      </c>
      <c r="D36" s="1" t="s">
        <v>58</v>
      </c>
      <c r="E36" s="1" t="s">
        <v>58</v>
      </c>
      <c r="F36" s="1">
        <v>2</v>
      </c>
      <c r="G36" s="1">
        <v>2</v>
      </c>
      <c r="H36" s="1" t="s">
        <v>227</v>
      </c>
      <c r="I36" s="1" t="s">
        <v>227</v>
      </c>
      <c r="J36" s="1" t="s">
        <v>59</v>
      </c>
      <c r="K36" s="1">
        <v>2</v>
      </c>
      <c r="L36" s="1">
        <v>2</v>
      </c>
      <c r="M36" t="s">
        <v>228</v>
      </c>
      <c r="N36" t="s">
        <v>229</v>
      </c>
      <c r="O36" t="s">
        <v>231</v>
      </c>
      <c r="P36">
        <v>40.4</v>
      </c>
      <c r="R36" t="b">
        <v>1</v>
      </c>
      <c r="T36" t="b">
        <v>1</v>
      </c>
    </row>
    <row r="37" spans="1:21" x14ac:dyDescent="0.25">
      <c r="A37" t="s">
        <v>128</v>
      </c>
      <c r="B37" s="1" t="s">
        <v>60</v>
      </c>
      <c r="C37" t="s">
        <v>130</v>
      </c>
      <c r="D37" s="1" t="s">
        <v>60</v>
      </c>
      <c r="E37" s="1" t="s">
        <v>60</v>
      </c>
      <c r="F37" s="1">
        <v>2</v>
      </c>
      <c r="G37" s="1">
        <v>2</v>
      </c>
      <c r="H37" s="1" t="s">
        <v>61</v>
      </c>
      <c r="I37" s="1" t="s">
        <v>61</v>
      </c>
      <c r="J37" s="1" t="s">
        <v>61</v>
      </c>
      <c r="K37" s="1">
        <v>2</v>
      </c>
      <c r="L37" s="1">
        <v>2</v>
      </c>
      <c r="M37" t="s">
        <v>232</v>
      </c>
      <c r="N37" t="s">
        <v>233</v>
      </c>
      <c r="O37" t="s">
        <v>234</v>
      </c>
      <c r="P37">
        <v>15</v>
      </c>
    </row>
    <row r="38" spans="1:21" x14ac:dyDescent="0.25">
      <c r="A38" t="s">
        <v>128</v>
      </c>
      <c r="B38" s="1" t="s">
        <v>60</v>
      </c>
      <c r="C38" t="s">
        <v>137</v>
      </c>
      <c r="D38" s="1" t="s">
        <v>60</v>
      </c>
      <c r="E38" s="1" t="s">
        <v>60</v>
      </c>
      <c r="F38" s="1">
        <v>2</v>
      </c>
      <c r="G38" s="1">
        <v>2</v>
      </c>
      <c r="H38" s="1" t="s">
        <v>61</v>
      </c>
      <c r="I38" s="1" t="s">
        <v>61</v>
      </c>
      <c r="J38" s="1" t="s">
        <v>61</v>
      </c>
      <c r="K38" s="1">
        <v>2</v>
      </c>
      <c r="L38" s="1">
        <v>2</v>
      </c>
      <c r="M38" t="s">
        <v>232</v>
      </c>
      <c r="N38" t="s">
        <v>233</v>
      </c>
      <c r="O38" t="s">
        <v>235</v>
      </c>
      <c r="P38">
        <v>32.5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128</v>
      </c>
      <c r="B39" s="1" t="s">
        <v>64</v>
      </c>
      <c r="C39" t="s">
        <v>130</v>
      </c>
      <c r="D39" s="1" t="s">
        <v>64</v>
      </c>
      <c r="E39" s="6" t="s">
        <v>64</v>
      </c>
      <c r="F39" s="1">
        <v>2</v>
      </c>
      <c r="G39" s="6">
        <v>1</v>
      </c>
      <c r="H39" s="1" t="s">
        <v>65</v>
      </c>
      <c r="I39" s="1" t="s">
        <v>65</v>
      </c>
      <c r="J39" s="1" t="s">
        <v>65</v>
      </c>
      <c r="K39" s="1">
        <v>2</v>
      </c>
      <c r="L39" s="1">
        <v>2</v>
      </c>
      <c r="M39" t="s">
        <v>236</v>
      </c>
      <c r="N39" t="s">
        <v>237</v>
      </c>
      <c r="O39" t="s">
        <v>238</v>
      </c>
      <c r="P39">
        <v>1.9</v>
      </c>
      <c r="S39" t="b">
        <v>1</v>
      </c>
    </row>
    <row r="40" spans="1:21" x14ac:dyDescent="0.25">
      <c r="H40" s="5" t="s">
        <v>430</v>
      </c>
      <c r="I40" t="s">
        <v>22</v>
      </c>
      <c r="J40" s="5" t="s">
        <v>239</v>
      </c>
      <c r="K40">
        <v>0</v>
      </c>
      <c r="L40" s="5">
        <v>-2</v>
      </c>
      <c r="M40" t="s">
        <v>236</v>
      </c>
      <c r="N40" t="s">
        <v>17</v>
      </c>
      <c r="O40" s="11">
        <v>24.644850000000002</v>
      </c>
      <c r="P40">
        <v>10.1</v>
      </c>
      <c r="Q40" t="s">
        <v>429</v>
      </c>
    </row>
    <row r="41" spans="1:21" x14ac:dyDescent="0.25">
      <c r="A41" t="s">
        <v>128</v>
      </c>
      <c r="B41" s="1" t="s">
        <v>64</v>
      </c>
      <c r="C41" t="s">
        <v>137</v>
      </c>
      <c r="D41" s="5" t="s">
        <v>22</v>
      </c>
      <c r="E41" s="1" t="s">
        <v>64</v>
      </c>
      <c r="F41" s="5">
        <v>-1</v>
      </c>
      <c r="G41" s="1">
        <v>2</v>
      </c>
      <c r="H41" s="1" t="s">
        <v>65</v>
      </c>
      <c r="I41" s="5" t="s">
        <v>22</v>
      </c>
      <c r="J41" s="1" t="s">
        <v>65</v>
      </c>
      <c r="K41" s="5">
        <v>-1</v>
      </c>
      <c r="L41" s="1">
        <v>2</v>
      </c>
      <c r="M41" t="s">
        <v>236</v>
      </c>
      <c r="N41" t="s">
        <v>17</v>
      </c>
      <c r="O41" t="s">
        <v>240</v>
      </c>
      <c r="P41">
        <v>3.2</v>
      </c>
      <c r="Q41" t="s">
        <v>432</v>
      </c>
      <c r="R41" t="b">
        <v>1</v>
      </c>
      <c r="T41" t="b">
        <v>1</v>
      </c>
      <c r="U41" t="b">
        <v>1</v>
      </c>
    </row>
    <row r="42" spans="1:21" x14ac:dyDescent="0.25">
      <c r="H42" s="5" t="s">
        <v>241</v>
      </c>
      <c r="I42" t="s">
        <v>22</v>
      </c>
      <c r="J42" s="5" t="s">
        <v>242</v>
      </c>
      <c r="K42">
        <v>0</v>
      </c>
      <c r="L42" s="5">
        <v>-2</v>
      </c>
      <c r="M42" t="s">
        <v>17</v>
      </c>
      <c r="N42" t="s">
        <v>17</v>
      </c>
      <c r="O42" t="s">
        <v>243</v>
      </c>
      <c r="P42">
        <v>4.8</v>
      </c>
      <c r="Q42" t="s">
        <v>431</v>
      </c>
    </row>
    <row r="43" spans="1:21" x14ac:dyDescent="0.25">
      <c r="A43" t="s">
        <v>128</v>
      </c>
      <c r="B43" s="1" t="s">
        <v>244</v>
      </c>
      <c r="C43" t="s">
        <v>130</v>
      </c>
      <c r="D43" s="1" t="s">
        <v>244</v>
      </c>
      <c r="E43" s="1" t="s">
        <v>244</v>
      </c>
      <c r="F43" s="1">
        <v>2</v>
      </c>
      <c r="G43" s="1">
        <v>2</v>
      </c>
      <c r="H43" s="1" t="s">
        <v>245</v>
      </c>
      <c r="I43" s="1" t="s">
        <v>245</v>
      </c>
      <c r="J43" s="1" t="s">
        <v>246</v>
      </c>
      <c r="K43" s="1">
        <v>2</v>
      </c>
      <c r="L43" s="1">
        <v>2</v>
      </c>
      <c r="M43" t="s">
        <v>247</v>
      </c>
      <c r="N43" t="s">
        <v>248</v>
      </c>
      <c r="O43" t="s">
        <v>249</v>
      </c>
      <c r="P43">
        <v>32.1</v>
      </c>
    </row>
    <row r="44" spans="1:21" x14ac:dyDescent="0.25">
      <c r="H44" s="1" t="s">
        <v>250</v>
      </c>
      <c r="I44" s="1" t="s">
        <v>250</v>
      </c>
      <c r="J44" s="1" t="s">
        <v>250</v>
      </c>
      <c r="K44" s="1">
        <v>2</v>
      </c>
      <c r="L44" s="1">
        <v>2</v>
      </c>
      <c r="M44" t="s">
        <v>247</v>
      </c>
      <c r="N44" t="s">
        <v>248</v>
      </c>
      <c r="O44" t="s">
        <v>251</v>
      </c>
      <c r="P44">
        <v>2.7</v>
      </c>
    </row>
    <row r="45" spans="1:21" x14ac:dyDescent="0.25">
      <c r="A45" t="s">
        <v>128</v>
      </c>
      <c r="B45" s="1" t="s">
        <v>244</v>
      </c>
      <c r="C45" t="s">
        <v>137</v>
      </c>
      <c r="D45" s="1" t="s">
        <v>244</v>
      </c>
      <c r="E45" s="6" t="s">
        <v>244</v>
      </c>
      <c r="F45" s="1">
        <v>2</v>
      </c>
      <c r="G45" s="6">
        <v>1</v>
      </c>
      <c r="H45" s="1" t="s">
        <v>245</v>
      </c>
      <c r="I45" s="1" t="s">
        <v>252</v>
      </c>
      <c r="J45" s="6" t="s">
        <v>245</v>
      </c>
      <c r="K45" s="1">
        <v>2</v>
      </c>
      <c r="L45" s="6">
        <v>1</v>
      </c>
      <c r="M45" t="s">
        <v>247</v>
      </c>
      <c r="N45" t="s">
        <v>253</v>
      </c>
      <c r="O45" t="s">
        <v>254</v>
      </c>
      <c r="P45">
        <v>27.8</v>
      </c>
      <c r="Q45" t="s">
        <v>433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128</v>
      </c>
      <c r="B46" s="1" t="s">
        <v>255</v>
      </c>
      <c r="C46" t="s">
        <v>130</v>
      </c>
      <c r="D46" t="s">
        <v>256</v>
      </c>
      <c r="E46" t="s">
        <v>22</v>
      </c>
      <c r="F46">
        <v>0</v>
      </c>
      <c r="G46">
        <v>0</v>
      </c>
      <c r="M46" t="s">
        <v>74</v>
      </c>
      <c r="N46" t="s">
        <v>175</v>
      </c>
      <c r="O46" t="s">
        <v>17</v>
      </c>
      <c r="Q46" t="s">
        <v>145</v>
      </c>
    </row>
    <row r="47" spans="1:21" x14ac:dyDescent="0.25">
      <c r="A47" t="s">
        <v>128</v>
      </c>
      <c r="B47" s="1" t="s">
        <v>257</v>
      </c>
      <c r="C47" t="s">
        <v>130</v>
      </c>
      <c r="D47" t="s">
        <v>258</v>
      </c>
      <c r="E47" t="s">
        <v>22</v>
      </c>
      <c r="F47">
        <v>0</v>
      </c>
      <c r="G47">
        <v>0</v>
      </c>
      <c r="M47" t="s">
        <v>228</v>
      </c>
      <c r="N47" t="s">
        <v>259</v>
      </c>
      <c r="O47" t="s">
        <v>17</v>
      </c>
      <c r="Q47" t="s">
        <v>145</v>
      </c>
    </row>
    <row r="48" spans="1:21" x14ac:dyDescent="0.25">
      <c r="A48" t="s">
        <v>128</v>
      </c>
      <c r="B48" s="1" t="s">
        <v>260</v>
      </c>
      <c r="C48" t="s">
        <v>130</v>
      </c>
      <c r="D48" t="s">
        <v>261</v>
      </c>
      <c r="E48" t="s">
        <v>22</v>
      </c>
      <c r="F48">
        <v>0</v>
      </c>
      <c r="G48">
        <v>0</v>
      </c>
      <c r="M48" t="s">
        <v>236</v>
      </c>
      <c r="N48" t="s">
        <v>144</v>
      </c>
      <c r="O48" t="s">
        <v>17</v>
      </c>
      <c r="Q48" t="s">
        <v>145</v>
      </c>
    </row>
    <row r="49" spans="1:21" x14ac:dyDescent="0.25">
      <c r="A49" t="s">
        <v>128</v>
      </c>
      <c r="B49" s="5" t="s">
        <v>262</v>
      </c>
      <c r="C49" t="s">
        <v>130</v>
      </c>
      <c r="D49" t="s">
        <v>22</v>
      </c>
      <c r="E49" s="5" t="s">
        <v>263</v>
      </c>
      <c r="F49">
        <v>0</v>
      </c>
      <c r="G49" s="5">
        <v>-2</v>
      </c>
      <c r="H49" s="5" t="s">
        <v>264</v>
      </c>
      <c r="I49" t="s">
        <v>22</v>
      </c>
      <c r="J49" s="5" t="s">
        <v>265</v>
      </c>
      <c r="K49">
        <v>0</v>
      </c>
      <c r="L49" s="5">
        <v>-2</v>
      </c>
      <c r="M49" t="s">
        <v>17</v>
      </c>
      <c r="N49" t="s">
        <v>17</v>
      </c>
      <c r="O49" t="s">
        <v>266</v>
      </c>
      <c r="P49">
        <v>50</v>
      </c>
      <c r="Q49" t="s">
        <v>424</v>
      </c>
    </row>
    <row r="50" spans="1:21" x14ac:dyDescent="0.25">
      <c r="A50" t="s">
        <v>128</v>
      </c>
      <c r="B50" s="1" t="s">
        <v>267</v>
      </c>
      <c r="C50" t="s">
        <v>130</v>
      </c>
      <c r="D50" t="s">
        <v>268</v>
      </c>
      <c r="E50" t="s">
        <v>22</v>
      </c>
      <c r="F50">
        <v>0</v>
      </c>
      <c r="G50">
        <v>0</v>
      </c>
      <c r="M50" t="s">
        <v>269</v>
      </c>
      <c r="N50" t="s">
        <v>215</v>
      </c>
      <c r="O50" t="s">
        <v>17</v>
      </c>
      <c r="Q50" t="s">
        <v>145</v>
      </c>
    </row>
    <row r="51" spans="1:21" x14ac:dyDescent="0.25">
      <c r="A51" t="s">
        <v>128</v>
      </c>
      <c r="B51" s="1" t="s">
        <v>267</v>
      </c>
      <c r="C51" t="s">
        <v>137</v>
      </c>
      <c r="D51" t="s">
        <v>268</v>
      </c>
      <c r="E51" t="s">
        <v>22</v>
      </c>
      <c r="F51">
        <v>0</v>
      </c>
      <c r="G51">
        <v>0</v>
      </c>
      <c r="M51" t="s">
        <v>269</v>
      </c>
      <c r="N51" t="s">
        <v>270</v>
      </c>
      <c r="O51" t="s">
        <v>17</v>
      </c>
      <c r="Q51" t="s">
        <v>145</v>
      </c>
      <c r="R51" t="b">
        <v>1</v>
      </c>
      <c r="S51" t="b">
        <v>1</v>
      </c>
    </row>
    <row r="52" spans="1:21" x14ac:dyDescent="0.25">
      <c r="A52" t="s">
        <v>128</v>
      </c>
      <c r="B52" s="1" t="s">
        <v>271</v>
      </c>
      <c r="C52" t="s">
        <v>130</v>
      </c>
      <c r="D52" t="s">
        <v>272</v>
      </c>
      <c r="E52" s="5" t="s">
        <v>272</v>
      </c>
      <c r="F52">
        <v>0</v>
      </c>
      <c r="G52" s="5">
        <v>-2</v>
      </c>
      <c r="H52" s="5" t="s">
        <v>273</v>
      </c>
      <c r="I52" t="s">
        <v>22</v>
      </c>
      <c r="J52" s="5" t="s">
        <v>274</v>
      </c>
      <c r="K52">
        <v>0</v>
      </c>
      <c r="L52" s="5">
        <v>-2</v>
      </c>
      <c r="M52" t="s">
        <v>17</v>
      </c>
      <c r="N52" t="s">
        <v>17</v>
      </c>
      <c r="O52">
        <v>26.293980000000001</v>
      </c>
      <c r="P52">
        <v>25</v>
      </c>
      <c r="Q52" t="s">
        <v>424</v>
      </c>
    </row>
    <row r="53" spans="1:21" x14ac:dyDescent="0.25">
      <c r="A53" t="s">
        <v>128</v>
      </c>
      <c r="B53" s="1" t="s">
        <v>271</v>
      </c>
      <c r="C53" t="s">
        <v>137</v>
      </c>
      <c r="D53" t="s">
        <v>272</v>
      </c>
      <c r="E53" t="s">
        <v>22</v>
      </c>
      <c r="F53">
        <v>0</v>
      </c>
      <c r="G53">
        <v>0</v>
      </c>
      <c r="M53" t="s">
        <v>275</v>
      </c>
      <c r="N53" t="s">
        <v>276</v>
      </c>
      <c r="O53" t="s">
        <v>17</v>
      </c>
      <c r="Q53" t="s">
        <v>145</v>
      </c>
      <c r="R53" t="b">
        <v>1</v>
      </c>
      <c r="S53" t="b">
        <v>1</v>
      </c>
    </row>
    <row r="54" spans="1:21" x14ac:dyDescent="0.25">
      <c r="A54" t="s">
        <v>128</v>
      </c>
      <c r="B54" s="1" t="s">
        <v>71</v>
      </c>
      <c r="C54" t="s">
        <v>130</v>
      </c>
      <c r="D54" s="1" t="s">
        <v>71</v>
      </c>
      <c r="E54" s="1" t="s">
        <v>71</v>
      </c>
      <c r="F54" s="1">
        <v>2</v>
      </c>
      <c r="G54" s="1">
        <v>2</v>
      </c>
      <c r="H54" s="1" t="s">
        <v>72</v>
      </c>
      <c r="I54" s="1" t="s">
        <v>277</v>
      </c>
      <c r="J54" s="1" t="s">
        <v>73</v>
      </c>
      <c r="K54" s="1">
        <v>2</v>
      </c>
      <c r="L54" s="1">
        <v>2</v>
      </c>
      <c r="M54" t="s">
        <v>178</v>
      </c>
      <c r="N54" t="s">
        <v>112</v>
      </c>
      <c r="O54" t="s">
        <v>278</v>
      </c>
      <c r="P54">
        <v>41.5</v>
      </c>
    </row>
    <row r="55" spans="1:21" x14ac:dyDescent="0.25">
      <c r="H55" s="1" t="s">
        <v>279</v>
      </c>
      <c r="I55" s="5" t="s">
        <v>22</v>
      </c>
      <c r="J55" s="1" t="s">
        <v>279</v>
      </c>
      <c r="K55" s="5">
        <v>-1</v>
      </c>
      <c r="L55" s="1">
        <v>2</v>
      </c>
      <c r="M55" t="s">
        <v>178</v>
      </c>
      <c r="N55" t="s">
        <v>17</v>
      </c>
      <c r="O55" t="s">
        <v>280</v>
      </c>
      <c r="P55">
        <v>0.4</v>
      </c>
      <c r="Q55" t="s">
        <v>455</v>
      </c>
    </row>
    <row r="56" spans="1:21" x14ac:dyDescent="0.25">
      <c r="H56" s="5" t="s">
        <v>281</v>
      </c>
      <c r="I56" t="s">
        <v>22</v>
      </c>
      <c r="J56" s="5" t="s">
        <v>282</v>
      </c>
      <c r="K56">
        <v>0</v>
      </c>
      <c r="L56" s="5">
        <v>-2</v>
      </c>
      <c r="M56" t="s">
        <v>17</v>
      </c>
      <c r="N56" t="s">
        <v>17</v>
      </c>
      <c r="O56" t="s">
        <v>283</v>
      </c>
      <c r="P56">
        <v>0.4</v>
      </c>
      <c r="Q56" t="s">
        <v>434</v>
      </c>
    </row>
    <row r="57" spans="1:21" x14ac:dyDescent="0.25">
      <c r="A57" t="s">
        <v>128</v>
      </c>
      <c r="B57" s="1" t="s">
        <v>71</v>
      </c>
      <c r="C57" t="s">
        <v>137</v>
      </c>
      <c r="D57" s="1" t="s">
        <v>71</v>
      </c>
      <c r="E57" s="6" t="s">
        <v>71</v>
      </c>
      <c r="F57" s="1">
        <v>2</v>
      </c>
      <c r="G57" s="6">
        <v>1</v>
      </c>
      <c r="H57" s="1" t="s">
        <v>72</v>
      </c>
      <c r="I57" s="1" t="s">
        <v>284</v>
      </c>
      <c r="J57" s="6" t="s">
        <v>73</v>
      </c>
      <c r="K57" s="1">
        <v>2</v>
      </c>
      <c r="L57" s="6">
        <v>1</v>
      </c>
      <c r="M57" t="s">
        <v>178</v>
      </c>
      <c r="N57" t="s">
        <v>112</v>
      </c>
      <c r="O57" t="s">
        <v>435</v>
      </c>
      <c r="P57">
        <v>96.7</v>
      </c>
      <c r="Q57" t="s">
        <v>436</v>
      </c>
      <c r="R57" t="b">
        <v>1</v>
      </c>
      <c r="S57" t="b">
        <v>1</v>
      </c>
      <c r="T57" t="b">
        <v>1</v>
      </c>
      <c r="U57" t="b">
        <v>1</v>
      </c>
    </row>
    <row r="58" spans="1:21" x14ac:dyDescent="0.25">
      <c r="A58" t="s">
        <v>128</v>
      </c>
      <c r="B58" s="1" t="s">
        <v>285</v>
      </c>
      <c r="C58" t="s">
        <v>130</v>
      </c>
      <c r="D58" t="s">
        <v>286</v>
      </c>
      <c r="E58" t="s">
        <v>22</v>
      </c>
      <c r="F58">
        <v>0</v>
      </c>
      <c r="G58">
        <v>0</v>
      </c>
      <c r="M58" t="s">
        <v>143</v>
      </c>
      <c r="N58" t="s">
        <v>287</v>
      </c>
      <c r="O58" t="s">
        <v>17</v>
      </c>
      <c r="Q58" t="s">
        <v>145</v>
      </c>
    </row>
    <row r="59" spans="1:21" x14ac:dyDescent="0.25">
      <c r="A59" t="s">
        <v>128</v>
      </c>
      <c r="B59" s="1" t="s">
        <v>285</v>
      </c>
      <c r="C59" t="s">
        <v>137</v>
      </c>
      <c r="D59" t="s">
        <v>286</v>
      </c>
      <c r="E59" t="s">
        <v>22</v>
      </c>
      <c r="F59">
        <v>0</v>
      </c>
      <c r="G59">
        <v>0</v>
      </c>
      <c r="M59" t="s">
        <v>143</v>
      </c>
      <c r="N59" t="s">
        <v>287</v>
      </c>
      <c r="O59" t="s">
        <v>17</v>
      </c>
      <c r="Q59" t="s">
        <v>145</v>
      </c>
      <c r="R59" t="b">
        <v>1</v>
      </c>
      <c r="S59" t="b">
        <v>1</v>
      </c>
    </row>
    <row r="60" spans="1:21" x14ac:dyDescent="0.25">
      <c r="A60" t="s">
        <v>128</v>
      </c>
      <c r="B60" s="1" t="s">
        <v>288</v>
      </c>
      <c r="C60" t="s">
        <v>130</v>
      </c>
      <c r="D60" t="s">
        <v>289</v>
      </c>
      <c r="E60" t="s">
        <v>22</v>
      </c>
      <c r="F60">
        <v>0</v>
      </c>
      <c r="G60">
        <v>0</v>
      </c>
      <c r="M60" t="s">
        <v>62</v>
      </c>
      <c r="N60" t="s">
        <v>290</v>
      </c>
      <c r="O60" t="s">
        <v>17</v>
      </c>
      <c r="Q60" t="s">
        <v>145</v>
      </c>
    </row>
    <row r="61" spans="1:21" x14ac:dyDescent="0.25">
      <c r="A61" t="s">
        <v>128</v>
      </c>
      <c r="B61" s="1" t="s">
        <v>288</v>
      </c>
      <c r="C61" t="s">
        <v>137</v>
      </c>
      <c r="D61" t="s">
        <v>289</v>
      </c>
      <c r="E61" t="s">
        <v>22</v>
      </c>
      <c r="F61">
        <v>0</v>
      </c>
      <c r="G61">
        <v>0</v>
      </c>
      <c r="M61" t="s">
        <v>62</v>
      </c>
      <c r="N61" t="s">
        <v>290</v>
      </c>
      <c r="O61" t="s">
        <v>17</v>
      </c>
      <c r="Q61" t="s">
        <v>145</v>
      </c>
      <c r="R61" t="b">
        <v>1</v>
      </c>
      <c r="S61" t="b">
        <v>1</v>
      </c>
    </row>
    <row r="62" spans="1:21" x14ac:dyDescent="0.25">
      <c r="A62" t="s">
        <v>128</v>
      </c>
      <c r="B62" s="1" t="s">
        <v>292</v>
      </c>
      <c r="C62" t="s">
        <v>137</v>
      </c>
      <c r="D62" t="s">
        <v>291</v>
      </c>
      <c r="E62" t="s">
        <v>22</v>
      </c>
      <c r="F62">
        <v>0</v>
      </c>
      <c r="G62">
        <v>0</v>
      </c>
      <c r="M62" t="s">
        <v>55</v>
      </c>
      <c r="N62" t="s">
        <v>293</v>
      </c>
      <c r="O62" t="s">
        <v>17</v>
      </c>
      <c r="Q62" t="s">
        <v>145</v>
      </c>
      <c r="R62" t="b">
        <v>1</v>
      </c>
      <c r="S62" t="b">
        <v>1</v>
      </c>
    </row>
    <row r="63" spans="1:21" x14ac:dyDescent="0.25">
      <c r="A63" t="s">
        <v>128</v>
      </c>
      <c r="B63" s="5" t="s">
        <v>294</v>
      </c>
      <c r="C63" t="s">
        <v>137</v>
      </c>
      <c r="D63" t="s">
        <v>22</v>
      </c>
      <c r="E63" s="5" t="s">
        <v>295</v>
      </c>
      <c r="F63">
        <v>0</v>
      </c>
      <c r="G63" s="5">
        <v>-2</v>
      </c>
      <c r="H63" s="5" t="s">
        <v>296</v>
      </c>
      <c r="I63" t="s">
        <v>22</v>
      </c>
      <c r="J63" s="5" t="s">
        <v>297</v>
      </c>
      <c r="K63">
        <v>0</v>
      </c>
      <c r="L63" s="5">
        <v>-2</v>
      </c>
      <c r="M63" t="s">
        <v>17</v>
      </c>
      <c r="N63" t="s">
        <v>17</v>
      </c>
      <c r="O63" t="s">
        <v>298</v>
      </c>
      <c r="P63">
        <v>100</v>
      </c>
      <c r="Q63" t="s">
        <v>424</v>
      </c>
    </row>
    <row r="64" spans="1:21" x14ac:dyDescent="0.25">
      <c r="A64" t="s">
        <v>128</v>
      </c>
      <c r="B64" s="1" t="s">
        <v>299</v>
      </c>
      <c r="C64" t="s">
        <v>130</v>
      </c>
      <c r="D64" t="s">
        <v>300</v>
      </c>
      <c r="E64" t="s">
        <v>22</v>
      </c>
      <c r="F64">
        <v>0</v>
      </c>
      <c r="G64">
        <v>0</v>
      </c>
      <c r="M64" t="s">
        <v>160</v>
      </c>
      <c r="N64" t="s">
        <v>301</v>
      </c>
      <c r="O64" t="s">
        <v>17</v>
      </c>
      <c r="Q64" t="s">
        <v>145</v>
      </c>
    </row>
    <row r="65" spans="1:19" x14ac:dyDescent="0.25">
      <c r="A65" t="s">
        <v>128</v>
      </c>
      <c r="B65" s="1" t="s">
        <v>299</v>
      </c>
      <c r="C65" t="s">
        <v>137</v>
      </c>
      <c r="D65" t="s">
        <v>300</v>
      </c>
      <c r="E65" t="s">
        <v>22</v>
      </c>
      <c r="F65">
        <v>0</v>
      </c>
      <c r="G65">
        <v>0</v>
      </c>
      <c r="M65" t="s">
        <v>160</v>
      </c>
      <c r="N65" t="s">
        <v>302</v>
      </c>
      <c r="O65" t="s">
        <v>17</v>
      </c>
      <c r="Q65" t="s">
        <v>145</v>
      </c>
      <c r="R65" t="b">
        <v>1</v>
      </c>
      <c r="S65" t="b">
        <v>1</v>
      </c>
    </row>
    <row r="66" spans="1:19" x14ac:dyDescent="0.25">
      <c r="A66" t="s">
        <v>128</v>
      </c>
      <c r="B66" s="1" t="s">
        <v>303</v>
      </c>
      <c r="C66" t="s">
        <v>137</v>
      </c>
      <c r="D66" t="s">
        <v>304</v>
      </c>
      <c r="E66" t="s">
        <v>22</v>
      </c>
      <c r="F66">
        <v>0</v>
      </c>
      <c r="G66">
        <v>0</v>
      </c>
      <c r="M66" t="s">
        <v>305</v>
      </c>
      <c r="N66" t="s">
        <v>306</v>
      </c>
      <c r="O66" t="s">
        <v>17</v>
      </c>
      <c r="Q66" t="s">
        <v>145</v>
      </c>
    </row>
    <row r="67" spans="1:19" x14ac:dyDescent="0.25">
      <c r="A67" t="s">
        <v>128</v>
      </c>
      <c r="B67" s="1" t="s">
        <v>307</v>
      </c>
      <c r="C67" t="s">
        <v>137</v>
      </c>
      <c r="D67" t="s">
        <v>308</v>
      </c>
      <c r="E67" t="s">
        <v>22</v>
      </c>
      <c r="F67">
        <v>0</v>
      </c>
      <c r="G67">
        <v>0</v>
      </c>
      <c r="M67" t="s">
        <v>126</v>
      </c>
      <c r="N67" t="s">
        <v>309</v>
      </c>
      <c r="O67" t="s">
        <v>17</v>
      </c>
      <c r="Q67" t="s">
        <v>145</v>
      </c>
    </row>
    <row r="68" spans="1:19" x14ac:dyDescent="0.25">
      <c r="A68" t="s">
        <v>128</v>
      </c>
      <c r="B68" s="1" t="s">
        <v>310</v>
      </c>
      <c r="C68" t="s">
        <v>130</v>
      </c>
      <c r="D68" s="1" t="s">
        <v>310</v>
      </c>
      <c r="E68" s="1" t="s">
        <v>310</v>
      </c>
      <c r="F68" s="1">
        <v>2</v>
      </c>
      <c r="G68" s="1">
        <v>2</v>
      </c>
      <c r="H68" s="1" t="s">
        <v>311</v>
      </c>
      <c r="I68" s="1" t="s">
        <v>311</v>
      </c>
      <c r="J68" s="1" t="s">
        <v>312</v>
      </c>
      <c r="K68" s="1">
        <v>2</v>
      </c>
      <c r="L68" s="1">
        <v>2</v>
      </c>
      <c r="M68" t="s">
        <v>74</v>
      </c>
      <c r="N68" t="s">
        <v>313</v>
      </c>
      <c r="O68" t="s">
        <v>314</v>
      </c>
      <c r="P68">
        <v>15.9</v>
      </c>
    </row>
    <row r="69" spans="1:19" x14ac:dyDescent="0.25">
      <c r="A69" t="s">
        <v>128</v>
      </c>
      <c r="B69" s="1" t="s">
        <v>315</v>
      </c>
      <c r="C69" t="s">
        <v>137</v>
      </c>
      <c r="D69" t="s">
        <v>310</v>
      </c>
      <c r="E69" t="s">
        <v>22</v>
      </c>
      <c r="F69">
        <v>0</v>
      </c>
      <c r="G69">
        <v>0</v>
      </c>
      <c r="M69" t="s">
        <v>74</v>
      </c>
      <c r="N69" t="s">
        <v>175</v>
      </c>
      <c r="O69" t="s">
        <v>17</v>
      </c>
      <c r="Q69" t="s">
        <v>145</v>
      </c>
      <c r="R69" t="b">
        <v>1</v>
      </c>
      <c r="S69" t="b">
        <v>1</v>
      </c>
    </row>
    <row r="70" spans="1:19" x14ac:dyDescent="0.25">
      <c r="A70" t="s">
        <v>128</v>
      </c>
      <c r="B70" s="5" t="s">
        <v>316</v>
      </c>
      <c r="C70" t="s">
        <v>137</v>
      </c>
      <c r="D70" t="s">
        <v>22</v>
      </c>
      <c r="E70" s="5" t="s">
        <v>317</v>
      </c>
      <c r="F70">
        <v>0</v>
      </c>
      <c r="G70" s="5">
        <v>-2</v>
      </c>
      <c r="H70" s="5" t="s">
        <v>318</v>
      </c>
      <c r="I70" t="s">
        <v>22</v>
      </c>
      <c r="J70" s="5" t="s">
        <v>319</v>
      </c>
      <c r="K70">
        <v>0</v>
      </c>
      <c r="L70" s="5">
        <v>-2</v>
      </c>
      <c r="M70" t="s">
        <v>17</v>
      </c>
      <c r="N70" t="s">
        <v>17</v>
      </c>
      <c r="O70" t="s">
        <v>320</v>
      </c>
      <c r="P70">
        <v>100</v>
      </c>
      <c r="Q70" t="s">
        <v>424</v>
      </c>
    </row>
    <row r="73" spans="1:19" ht="15.75" x14ac:dyDescent="0.25">
      <c r="A73" s="3" t="s">
        <v>77</v>
      </c>
      <c r="H73" s="3" t="s">
        <v>78</v>
      </c>
    </row>
    <row r="74" spans="1:19" x14ac:dyDescent="0.25">
      <c r="A74" s="4" t="s">
        <v>79</v>
      </c>
      <c r="F74">
        <f>COUNTIFS(B2:B70,"&lt;&gt;*_*",B2:B70,"&lt;&gt;")</f>
        <v>26</v>
      </c>
      <c r="H74" s="4" t="s">
        <v>79</v>
      </c>
      <c r="K74">
        <f>COUNTIFS(B2:B70,"&lt;&gt;*_*",B2:B70,"&lt;&gt;",R2:R70,"&lt;&gt;TRUE")</f>
        <v>15</v>
      </c>
    </row>
    <row r="75" spans="1:19" x14ac:dyDescent="0.25">
      <c r="A75" s="4" t="s">
        <v>80</v>
      </c>
      <c r="F75">
        <f>COUNTIFS(F2:F70,"&gt;0")</f>
        <v>24</v>
      </c>
      <c r="H75" s="4" t="s">
        <v>80</v>
      </c>
      <c r="K75">
        <f>COUNTIFS(F2:F70,"&gt;0",R2:R70,"&lt;&gt;TRUE")</f>
        <v>14</v>
      </c>
    </row>
    <row r="76" spans="1:19" x14ac:dyDescent="0.25">
      <c r="A76" s="4" t="s">
        <v>81</v>
      </c>
      <c r="F76">
        <f>COUNTIFS(G2:G70,"&gt;0")</f>
        <v>26</v>
      </c>
      <c r="H76" s="4" t="s">
        <v>81</v>
      </c>
      <c r="K76">
        <f>COUNTIFS(G2:G70,"&gt;0",S2:S70,"&lt;&gt;TRUE")</f>
        <v>15</v>
      </c>
    </row>
    <row r="77" spans="1:19" x14ac:dyDescent="0.25">
      <c r="A77" s="4" t="s">
        <v>82</v>
      </c>
      <c r="F77">
        <f>COUNTIFS(F2:F70,"&lt;&gt;-1",F2:F70,"&lt;&gt;0",F2:F70,"&lt;2")</f>
        <v>1</v>
      </c>
      <c r="H77" s="4" t="s">
        <v>82</v>
      </c>
      <c r="K77">
        <f>COUNTIFS(F2:F70,"&lt;&gt;-1",F2:F70,"&lt;&gt;0",F2:F70,"&lt;2",R2:R70,"&lt;&gt;TRUE")</f>
        <v>1</v>
      </c>
    </row>
    <row r="78" spans="1:19" x14ac:dyDescent="0.25">
      <c r="A78" s="4" t="s">
        <v>83</v>
      </c>
      <c r="F78">
        <f>COUNTIFS(G2:G70,"&lt;&gt;-1",G2:G70,"&lt;&gt;0",G2:G70,"&lt;2")</f>
        <v>11</v>
      </c>
      <c r="H78" s="4" t="s">
        <v>83</v>
      </c>
      <c r="K78">
        <f>COUNTIFS(G2:G70,"&lt;&gt;-1",G2:G70,"&lt;&gt;0",G2:G70,"&lt;2",S2:S70,"&lt;&gt;TRUE")</f>
        <v>6</v>
      </c>
    </row>
    <row r="79" spans="1:19" x14ac:dyDescent="0.25">
      <c r="A79" s="4" t="s">
        <v>84</v>
      </c>
      <c r="F79">
        <f>COUNTIFS(F2:F70,"=-1")+COUNTIFS(F2:F70,"=-3")</f>
        <v>2</v>
      </c>
      <c r="H79" s="4" t="s">
        <v>84</v>
      </c>
      <c r="K79">
        <f>COUNTIFS(F2:F70,"=-1",R2:R70,"&lt;&gt;TRUE")+COUNTIFS(F2:F70,"=-3",R2:R70,"&lt;&gt;TRUE")</f>
        <v>1</v>
      </c>
    </row>
    <row r="80" spans="1:19" x14ac:dyDescent="0.25">
      <c r="A80" s="4" t="s">
        <v>85</v>
      </c>
      <c r="F80">
        <f>COUNTIFS(G2:G70,"=-1")+COUNTIFS(G2:G70,"=-3")</f>
        <v>0</v>
      </c>
      <c r="H80" s="4" t="s">
        <v>85</v>
      </c>
      <c r="K80">
        <f>COUNTIFS(G2:G70,"=-1",S2:S70,"&lt;&gt;TRUE")+COUNTIFS(G2:G70,"=-3",S2:S70,"&lt;&gt;TRUE")</f>
        <v>0</v>
      </c>
    </row>
    <row r="81" spans="1:11" x14ac:dyDescent="0.25">
      <c r="A81" s="4" t="s">
        <v>86</v>
      </c>
      <c r="F81" s="8">
        <f>F75/F74</f>
        <v>0.92307692307692313</v>
      </c>
      <c r="H81" s="4" t="s">
        <v>86</v>
      </c>
      <c r="K81" s="8">
        <f>K75/K74</f>
        <v>0.93333333333333335</v>
      </c>
    </row>
    <row r="82" spans="1:11" x14ac:dyDescent="0.25">
      <c r="A82" s="4" t="s">
        <v>87</v>
      </c>
      <c r="F82" s="8">
        <f>F76/F74</f>
        <v>1</v>
      </c>
      <c r="H82" s="4" t="s">
        <v>88</v>
      </c>
      <c r="K82" s="8">
        <f>K76/K74</f>
        <v>1</v>
      </c>
    </row>
    <row r="83" spans="1:11" x14ac:dyDescent="0.25">
      <c r="A83" s="4" t="s">
        <v>89</v>
      </c>
      <c r="F83" s="8">
        <f>F75/(F75+F77)</f>
        <v>0.96</v>
      </c>
      <c r="H83" s="4" t="s">
        <v>89</v>
      </c>
      <c r="K83" s="8">
        <f>K75/(K75+K77)</f>
        <v>0.93333333333333335</v>
      </c>
    </row>
    <row r="84" spans="1:11" x14ac:dyDescent="0.25">
      <c r="A84" s="4" t="s">
        <v>90</v>
      </c>
      <c r="F84" s="8">
        <f>F76/(F76+F78)</f>
        <v>0.70270270270270274</v>
      </c>
      <c r="H84" s="4" t="s">
        <v>90</v>
      </c>
      <c r="K84" s="8">
        <f>K76/(K76+K78)</f>
        <v>0.7142857142857143</v>
      </c>
    </row>
    <row r="87" spans="1:11" ht="15.75" x14ac:dyDescent="0.25">
      <c r="A87" s="3" t="s">
        <v>91</v>
      </c>
      <c r="H87" s="3" t="s">
        <v>92</v>
      </c>
    </row>
    <row r="88" spans="1:11" x14ac:dyDescent="0.25">
      <c r="A88" s="4" t="s">
        <v>79</v>
      </c>
      <c r="F88">
        <f>COUNTIFS(H2:H70,"&lt;&gt;*_FP",H2:H70,"&lt;&gt;",H2:H70,"&lt;&gt;no structure")</f>
        <v>31</v>
      </c>
      <c r="H88" s="4" t="s">
        <v>79</v>
      </c>
      <c r="K88">
        <f>COUNTIFS(H2:H70,"&lt;&gt;*_FP",H2:H70,"&lt;&gt;",H2:H70,"&lt;&gt;no structure",T2:T70,"&lt;&gt;TRUE")</f>
        <v>19</v>
      </c>
    </row>
    <row r="89" spans="1:11" x14ac:dyDescent="0.25">
      <c r="A89" s="4" t="s">
        <v>80</v>
      </c>
      <c r="F89">
        <f>COUNTIFS(K2:K70,"&gt;0")</f>
        <v>28</v>
      </c>
      <c r="H89" s="4" t="s">
        <v>80</v>
      </c>
      <c r="K89">
        <f>COUNTIFS(K2:K70,"&gt;0",T2:T70,"&lt;&gt;TRUE")</f>
        <v>17</v>
      </c>
    </row>
    <row r="90" spans="1:11" x14ac:dyDescent="0.25">
      <c r="A90" s="4" t="s">
        <v>81</v>
      </c>
      <c r="F90">
        <f>COUNTIFS(L2:L70,"&gt;0")</f>
        <v>29</v>
      </c>
      <c r="H90" s="4" t="s">
        <v>81</v>
      </c>
      <c r="K90">
        <f>COUNTIFS(L2:L70,"&gt;0",U2:U70,"&lt;&gt;TRUE")</f>
        <v>18</v>
      </c>
    </row>
    <row r="91" spans="1:11" x14ac:dyDescent="0.25">
      <c r="A91" s="4" t="s">
        <v>82</v>
      </c>
      <c r="F91">
        <f>COUNTIFS(K2:K70,"&lt;&gt;-1",K2:K70,"&lt;&gt;0",K2:K70,"&lt;2")</f>
        <v>2</v>
      </c>
      <c r="H91" s="4" t="s">
        <v>82</v>
      </c>
      <c r="K91">
        <f>COUNTIFS(K2:K70,"&lt;&gt;-1",K2:K70,"&lt;&gt;0",K2:K70,"&lt;2",T2:T70,"&lt;&gt;TRUE")</f>
        <v>2</v>
      </c>
    </row>
    <row r="92" spans="1:11" x14ac:dyDescent="0.25">
      <c r="A92" s="4" t="s">
        <v>83</v>
      </c>
      <c r="F92">
        <f>COUNTIFS(L2:L70,"&lt;&gt;-1",L2:L70,"&lt;&gt;0",L2:L70,"&lt;2")</f>
        <v>16</v>
      </c>
      <c r="H92" s="4" t="s">
        <v>83</v>
      </c>
      <c r="K92">
        <f>COUNTIFS(L2:L70,"&lt;&gt;-1",L2:L70,"&lt;&gt;0",L2:L70,"&lt;2",U2:U70,"&lt;&gt;TRUE")</f>
        <v>12</v>
      </c>
    </row>
    <row r="93" spans="1:11" x14ac:dyDescent="0.25">
      <c r="A93" s="4" t="s">
        <v>84</v>
      </c>
      <c r="F93">
        <f>COUNTIFS(K2:K70,"=-1")+COUNTIFS(K2:K70,"=-3")</f>
        <v>3</v>
      </c>
      <c r="H93" s="4" t="s">
        <v>84</v>
      </c>
      <c r="K93">
        <f>COUNTIFS(K2:K70,"=-1",T2:T70,"&lt;&gt;TRUE")+COUNTIFS(K2:K70,"=-3",T2:T70,"&lt;&gt;TRUE")</f>
        <v>2</v>
      </c>
    </row>
    <row r="94" spans="1:11" x14ac:dyDescent="0.25">
      <c r="A94" s="4" t="s">
        <v>85</v>
      </c>
      <c r="F94">
        <f>COUNTIFS(L2:L70,"=-1")+COUNTIFS(L2:L70,"=-3")</f>
        <v>2</v>
      </c>
      <c r="H94" s="4" t="s">
        <v>85</v>
      </c>
      <c r="K94">
        <f>COUNTIFS(L2:L70,"=-1",U2:U70,"&lt;&gt;TRUE")+COUNTIFS(L2:L70,"=-3",U2:U70,"&lt;&gt;TRUE")</f>
        <v>1</v>
      </c>
    </row>
    <row r="95" spans="1:11" x14ac:dyDescent="0.25">
      <c r="A95" s="4" t="s">
        <v>86</v>
      </c>
      <c r="F95" s="8">
        <f>F89/F88</f>
        <v>0.90322580645161288</v>
      </c>
      <c r="H95" s="4" t="s">
        <v>86</v>
      </c>
      <c r="K95" s="8">
        <f>K89/K88</f>
        <v>0.89473684210526316</v>
      </c>
    </row>
    <row r="96" spans="1:11" x14ac:dyDescent="0.25">
      <c r="A96" s="4" t="s">
        <v>87</v>
      </c>
      <c r="F96" s="8">
        <f>F90/F88</f>
        <v>0.93548387096774188</v>
      </c>
      <c r="H96" s="4" t="s">
        <v>88</v>
      </c>
      <c r="K96" s="8">
        <f>K90/K88</f>
        <v>0.94736842105263153</v>
      </c>
    </row>
    <row r="97" spans="1:11" x14ac:dyDescent="0.25">
      <c r="A97" s="4" t="s">
        <v>89</v>
      </c>
      <c r="F97" s="8">
        <f>F89/(F89+F91)</f>
        <v>0.93333333333333335</v>
      </c>
      <c r="H97" s="4" t="s">
        <v>89</v>
      </c>
      <c r="K97" s="8">
        <f>K89/(K89+K91)</f>
        <v>0.89473684210526316</v>
      </c>
    </row>
    <row r="98" spans="1:11" x14ac:dyDescent="0.25">
      <c r="A98" s="4" t="s">
        <v>90</v>
      </c>
      <c r="F98" s="8">
        <f>F90/(F90+F92)</f>
        <v>0.64444444444444449</v>
      </c>
      <c r="H98" s="4" t="s">
        <v>90</v>
      </c>
      <c r="K98" s="8">
        <f>K90/(K90+K92)</f>
        <v>0.6</v>
      </c>
    </row>
    <row r="101" spans="1:11" ht="15.75" x14ac:dyDescent="0.25">
      <c r="A101" s="3" t="s">
        <v>93</v>
      </c>
    </row>
    <row r="102" spans="1:11" x14ac:dyDescent="0.25">
      <c r="A102" s="1" t="s">
        <v>94</v>
      </c>
    </row>
    <row r="103" spans="1:11" x14ac:dyDescent="0.25">
      <c r="A103" s="5" t="s">
        <v>95</v>
      </c>
    </row>
    <row r="105" spans="1:11" x14ac:dyDescent="0.25">
      <c r="A105" s="1" t="s">
        <v>96</v>
      </c>
    </row>
    <row r="106" spans="1:11" x14ac:dyDescent="0.25">
      <c r="A106" s="6" t="s">
        <v>97</v>
      </c>
    </row>
    <row r="107" spans="1:11" x14ac:dyDescent="0.25">
      <c r="A107" s="7" t="s">
        <v>98</v>
      </c>
    </row>
    <row r="108" spans="1:11" x14ac:dyDescent="0.25">
      <c r="A108" s="5" t="s">
        <v>99</v>
      </c>
    </row>
    <row r="110" spans="1:11" x14ac:dyDescent="0.25">
      <c r="A110" s="4" t="s">
        <v>100</v>
      </c>
    </row>
    <row r="111" spans="1:11" x14ac:dyDescent="0.25">
      <c r="A111" t="s">
        <v>101</v>
      </c>
    </row>
    <row r="112" spans="1:11" x14ac:dyDescent="0.25">
      <c r="A112" t="s">
        <v>102</v>
      </c>
    </row>
    <row r="113" spans="1:1" x14ac:dyDescent="0.25">
      <c r="A113" t="s">
        <v>103</v>
      </c>
    </row>
    <row r="114" spans="1:1" x14ac:dyDescent="0.25">
      <c r="A114" t="s">
        <v>104</v>
      </c>
    </row>
    <row r="115" spans="1:1" x14ac:dyDescent="0.25">
      <c r="A115" t="s">
        <v>105</v>
      </c>
    </row>
    <row r="116" spans="1:1" x14ac:dyDescent="0.25">
      <c r="A116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opLeftCell="A25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321</v>
      </c>
      <c r="B2" s="1" t="s">
        <v>322</v>
      </c>
      <c r="C2" t="s">
        <v>20</v>
      </c>
      <c r="D2" s="1" t="s">
        <v>322</v>
      </c>
      <c r="E2" s="5" t="s">
        <v>22</v>
      </c>
      <c r="F2" s="1">
        <v>2</v>
      </c>
      <c r="G2" s="5">
        <v>-1</v>
      </c>
      <c r="H2" s="1" t="s">
        <v>323</v>
      </c>
      <c r="I2" s="1" t="s">
        <v>323</v>
      </c>
      <c r="J2" s="5" t="s">
        <v>22</v>
      </c>
      <c r="K2" s="1">
        <v>2</v>
      </c>
      <c r="L2" s="5">
        <v>-1</v>
      </c>
      <c r="M2" t="s">
        <v>324</v>
      </c>
      <c r="N2" t="s">
        <v>325</v>
      </c>
      <c r="O2" t="s">
        <v>17</v>
      </c>
    </row>
    <row r="3" spans="1:21" x14ac:dyDescent="0.25">
      <c r="A3" t="s">
        <v>321</v>
      </c>
      <c r="B3" s="1" t="s">
        <v>154</v>
      </c>
      <c r="C3" t="s">
        <v>20</v>
      </c>
      <c r="D3" t="s">
        <v>22</v>
      </c>
      <c r="E3" s="5" t="s">
        <v>155</v>
      </c>
      <c r="F3">
        <v>0</v>
      </c>
      <c r="G3" s="5">
        <v>-2</v>
      </c>
      <c r="H3" s="5" t="s">
        <v>156</v>
      </c>
      <c r="I3" t="s">
        <v>22</v>
      </c>
      <c r="J3" s="5" t="s">
        <v>157</v>
      </c>
      <c r="K3">
        <v>0</v>
      </c>
      <c r="L3" s="5">
        <v>-2</v>
      </c>
      <c r="M3" t="s">
        <v>17</v>
      </c>
      <c r="N3" t="s">
        <v>17</v>
      </c>
      <c r="O3" t="s">
        <v>326</v>
      </c>
      <c r="P3">
        <v>46.2</v>
      </c>
      <c r="Q3" t="s">
        <v>437</v>
      </c>
    </row>
    <row r="4" spans="1:21" x14ac:dyDescent="0.25">
      <c r="A4" t="s">
        <v>321</v>
      </c>
      <c r="B4" s="1" t="s">
        <v>158</v>
      </c>
      <c r="C4" t="s">
        <v>20</v>
      </c>
      <c r="D4" s="1" t="s">
        <v>158</v>
      </c>
      <c r="E4" s="1" t="s">
        <v>158</v>
      </c>
      <c r="F4" s="1">
        <v>2</v>
      </c>
      <c r="G4" s="1">
        <v>2</v>
      </c>
      <c r="H4" s="1" t="s">
        <v>159</v>
      </c>
      <c r="I4" s="1" t="s">
        <v>159</v>
      </c>
      <c r="J4" s="1" t="s">
        <v>159</v>
      </c>
      <c r="K4" s="1">
        <v>2</v>
      </c>
      <c r="L4" s="1">
        <v>2</v>
      </c>
      <c r="M4" t="s">
        <v>132</v>
      </c>
      <c r="N4" t="s">
        <v>112</v>
      </c>
      <c r="O4" t="s">
        <v>327</v>
      </c>
      <c r="P4">
        <v>5.5</v>
      </c>
    </row>
    <row r="5" spans="1:21" x14ac:dyDescent="0.25">
      <c r="A5" t="s">
        <v>321</v>
      </c>
      <c r="B5" s="1" t="s">
        <v>26</v>
      </c>
      <c r="C5" t="s">
        <v>20</v>
      </c>
      <c r="D5" s="1" t="s">
        <v>26</v>
      </c>
      <c r="E5" s="5" t="s">
        <v>22</v>
      </c>
      <c r="F5" s="1">
        <v>2</v>
      </c>
      <c r="G5" s="5">
        <v>-1</v>
      </c>
      <c r="H5" s="1" t="s">
        <v>27</v>
      </c>
      <c r="I5" s="1" t="s">
        <v>27</v>
      </c>
      <c r="J5" s="5" t="s">
        <v>22</v>
      </c>
      <c r="K5" s="1">
        <v>2</v>
      </c>
      <c r="L5" s="5">
        <v>-1</v>
      </c>
      <c r="M5" t="s">
        <v>328</v>
      </c>
      <c r="N5" t="s">
        <v>329</v>
      </c>
      <c r="O5" t="s">
        <v>17</v>
      </c>
    </row>
    <row r="6" spans="1:21" x14ac:dyDescent="0.25">
      <c r="A6" t="s">
        <v>321</v>
      </c>
      <c r="B6" s="1" t="s">
        <v>188</v>
      </c>
      <c r="C6" t="s">
        <v>20</v>
      </c>
      <c r="D6" s="1" t="s">
        <v>188</v>
      </c>
      <c r="E6" s="1" t="s">
        <v>188</v>
      </c>
      <c r="F6" s="1">
        <v>2</v>
      </c>
      <c r="G6" s="1">
        <v>2</v>
      </c>
      <c r="H6" s="1" t="s">
        <v>189</v>
      </c>
      <c r="I6" s="1" t="s">
        <v>189</v>
      </c>
      <c r="J6" s="1" t="s">
        <v>189</v>
      </c>
      <c r="K6" s="1">
        <v>2</v>
      </c>
      <c r="L6" s="1">
        <v>2</v>
      </c>
      <c r="M6" t="s">
        <v>330</v>
      </c>
      <c r="N6" t="s">
        <v>331</v>
      </c>
      <c r="O6" t="s">
        <v>332</v>
      </c>
      <c r="P6">
        <v>5.4</v>
      </c>
    </row>
    <row r="7" spans="1:21" x14ac:dyDescent="0.25">
      <c r="H7" s="1" t="s">
        <v>194</v>
      </c>
      <c r="I7" s="1" t="s">
        <v>194</v>
      </c>
      <c r="J7" s="5" t="s">
        <v>22</v>
      </c>
      <c r="K7" s="1">
        <v>2</v>
      </c>
      <c r="L7" s="5">
        <v>-1</v>
      </c>
      <c r="M7" t="s">
        <v>330</v>
      </c>
      <c r="N7" t="s">
        <v>331</v>
      </c>
      <c r="O7" t="s">
        <v>17</v>
      </c>
    </row>
    <row r="8" spans="1:21" x14ac:dyDescent="0.25">
      <c r="A8" t="s">
        <v>321</v>
      </c>
      <c r="B8" s="1" t="s">
        <v>35</v>
      </c>
      <c r="C8" t="s">
        <v>20</v>
      </c>
      <c r="D8" s="1" t="s">
        <v>35</v>
      </c>
      <c r="E8" s="1" t="s">
        <v>35</v>
      </c>
      <c r="F8" s="1">
        <v>2</v>
      </c>
      <c r="G8" s="1">
        <v>2</v>
      </c>
      <c r="H8" s="1" t="s">
        <v>198</v>
      </c>
      <c r="I8" s="1" t="s">
        <v>333</v>
      </c>
      <c r="J8" s="1" t="s">
        <v>198</v>
      </c>
      <c r="K8" s="1">
        <v>2</v>
      </c>
      <c r="L8" s="1">
        <v>2</v>
      </c>
      <c r="M8" t="s">
        <v>334</v>
      </c>
      <c r="N8" t="s">
        <v>161</v>
      </c>
      <c r="O8" t="s">
        <v>335</v>
      </c>
      <c r="P8">
        <v>8.1999999999999993</v>
      </c>
    </row>
    <row r="9" spans="1:21" x14ac:dyDescent="0.25">
      <c r="A9" t="s">
        <v>321</v>
      </c>
      <c r="B9" s="1" t="s">
        <v>39</v>
      </c>
      <c r="C9" t="s">
        <v>20</v>
      </c>
      <c r="D9" s="1" t="s">
        <v>39</v>
      </c>
      <c r="E9" s="1" t="s">
        <v>39</v>
      </c>
      <c r="F9" s="1">
        <v>2</v>
      </c>
      <c r="G9" s="1">
        <v>2</v>
      </c>
      <c r="H9" s="1" t="s">
        <v>40</v>
      </c>
      <c r="I9" s="1" t="s">
        <v>40</v>
      </c>
      <c r="J9" s="1" t="s">
        <v>40</v>
      </c>
      <c r="K9" s="1">
        <v>2</v>
      </c>
      <c r="L9" s="1">
        <v>2</v>
      </c>
      <c r="M9" t="s">
        <v>218</v>
      </c>
      <c r="N9" t="s">
        <v>336</v>
      </c>
      <c r="O9" t="s">
        <v>337</v>
      </c>
      <c r="P9">
        <v>1</v>
      </c>
    </row>
    <row r="10" spans="1:21" x14ac:dyDescent="0.25">
      <c r="A10" t="s">
        <v>321</v>
      </c>
      <c r="B10" s="1" t="s">
        <v>45</v>
      </c>
      <c r="C10" t="s">
        <v>20</v>
      </c>
      <c r="D10" s="1" t="s">
        <v>45</v>
      </c>
      <c r="E10" s="1" t="s">
        <v>45</v>
      </c>
      <c r="F10" s="1">
        <v>2</v>
      </c>
      <c r="G10" s="1">
        <v>2</v>
      </c>
      <c r="H10" s="1" t="s">
        <v>46</v>
      </c>
      <c r="I10" s="1" t="s">
        <v>46</v>
      </c>
      <c r="J10" s="1" t="s">
        <v>46</v>
      </c>
      <c r="K10" s="1">
        <v>2</v>
      </c>
      <c r="L10" s="1">
        <v>2</v>
      </c>
      <c r="M10" t="s">
        <v>143</v>
      </c>
      <c r="N10" t="s">
        <v>329</v>
      </c>
      <c r="O10" t="s">
        <v>338</v>
      </c>
      <c r="P10">
        <v>16.399999999999999</v>
      </c>
    </row>
    <row r="11" spans="1:21" x14ac:dyDescent="0.25">
      <c r="A11" t="s">
        <v>321</v>
      </c>
      <c r="B11" s="1" t="s">
        <v>50</v>
      </c>
      <c r="C11" t="s">
        <v>20</v>
      </c>
      <c r="D11" s="1" t="s">
        <v>50</v>
      </c>
      <c r="E11" s="1" t="s">
        <v>50</v>
      </c>
      <c r="F11" s="1">
        <v>2</v>
      </c>
      <c r="G11" s="1">
        <v>2</v>
      </c>
      <c r="H11" s="1" t="s">
        <v>339</v>
      </c>
      <c r="I11" s="1" t="s">
        <v>339</v>
      </c>
      <c r="J11" s="1" t="s">
        <v>339</v>
      </c>
      <c r="K11" s="1">
        <v>2</v>
      </c>
      <c r="L11" s="1">
        <v>2</v>
      </c>
      <c r="M11" t="s">
        <v>340</v>
      </c>
      <c r="N11" t="s">
        <v>313</v>
      </c>
      <c r="O11" t="s">
        <v>341</v>
      </c>
      <c r="P11">
        <v>8.1</v>
      </c>
    </row>
    <row r="12" spans="1:21" x14ac:dyDescent="0.25">
      <c r="A12" t="s">
        <v>321</v>
      </c>
      <c r="B12" s="1" t="s">
        <v>212</v>
      </c>
      <c r="C12" t="s">
        <v>20</v>
      </c>
      <c r="D12" t="s">
        <v>213</v>
      </c>
      <c r="E12" t="s">
        <v>22</v>
      </c>
      <c r="F12">
        <v>0</v>
      </c>
      <c r="G12">
        <v>0</v>
      </c>
      <c r="M12" t="s">
        <v>342</v>
      </c>
      <c r="N12" t="s">
        <v>343</v>
      </c>
      <c r="O12" t="s">
        <v>17</v>
      </c>
      <c r="Q12" t="s">
        <v>145</v>
      </c>
    </row>
    <row r="13" spans="1:21" x14ac:dyDescent="0.25">
      <c r="A13" t="s">
        <v>321</v>
      </c>
      <c r="B13" s="1" t="s">
        <v>217</v>
      </c>
      <c r="C13" t="s">
        <v>20</v>
      </c>
      <c r="D13" t="s">
        <v>53</v>
      </c>
      <c r="E13" t="s">
        <v>22</v>
      </c>
      <c r="F13">
        <v>0</v>
      </c>
      <c r="G13">
        <v>0</v>
      </c>
      <c r="M13" t="s">
        <v>203</v>
      </c>
      <c r="N13" t="s">
        <v>344</v>
      </c>
      <c r="O13" t="s">
        <v>17</v>
      </c>
      <c r="Q13" t="s">
        <v>145</v>
      </c>
    </row>
    <row r="14" spans="1:21" x14ac:dyDescent="0.25">
      <c r="A14" t="s">
        <v>321</v>
      </c>
      <c r="B14" s="1" t="s">
        <v>58</v>
      </c>
      <c r="C14" t="s">
        <v>20</v>
      </c>
      <c r="D14" s="1" t="s">
        <v>58</v>
      </c>
      <c r="E14" s="1" t="s">
        <v>58</v>
      </c>
      <c r="F14" s="1">
        <v>2</v>
      </c>
      <c r="G14" s="5">
        <v>-3</v>
      </c>
      <c r="H14" s="1" t="s">
        <v>227</v>
      </c>
      <c r="I14" s="1" t="s">
        <v>227</v>
      </c>
      <c r="J14" s="5" t="s">
        <v>59</v>
      </c>
      <c r="K14" s="1">
        <v>2</v>
      </c>
      <c r="L14" s="5">
        <v>-3</v>
      </c>
      <c r="M14" t="s">
        <v>152</v>
      </c>
      <c r="N14" t="s">
        <v>186</v>
      </c>
      <c r="O14" s="11">
        <v>26.542249999999999</v>
      </c>
      <c r="P14">
        <v>21.1</v>
      </c>
      <c r="Q14" t="s">
        <v>447</v>
      </c>
    </row>
    <row r="15" spans="1:21" x14ac:dyDescent="0.25">
      <c r="A15" t="s">
        <v>321</v>
      </c>
      <c r="B15" s="1" t="s">
        <v>60</v>
      </c>
      <c r="C15" t="s">
        <v>20</v>
      </c>
      <c r="D15" s="1" t="s">
        <v>60</v>
      </c>
      <c r="E15" s="1" t="s">
        <v>60</v>
      </c>
      <c r="F15" s="1">
        <v>2</v>
      </c>
      <c r="G15" s="1">
        <v>2</v>
      </c>
      <c r="H15" s="1" t="s">
        <v>61</v>
      </c>
      <c r="I15" s="1" t="s">
        <v>61</v>
      </c>
      <c r="J15" s="1" t="s">
        <v>61</v>
      </c>
      <c r="K15" s="1">
        <v>2</v>
      </c>
      <c r="L15" s="1">
        <v>2</v>
      </c>
      <c r="M15" t="s">
        <v>160</v>
      </c>
      <c r="N15" t="s">
        <v>345</v>
      </c>
      <c r="O15" t="s">
        <v>346</v>
      </c>
      <c r="P15">
        <v>16.5</v>
      </c>
    </row>
    <row r="16" spans="1:21" x14ac:dyDescent="0.25">
      <c r="A16" t="s">
        <v>321</v>
      </c>
      <c r="B16" s="1" t="s">
        <v>64</v>
      </c>
      <c r="C16" t="s">
        <v>20</v>
      </c>
      <c r="D16" s="1" t="s">
        <v>64</v>
      </c>
      <c r="E16" s="6" t="s">
        <v>64</v>
      </c>
      <c r="F16" s="1">
        <v>2</v>
      </c>
      <c r="G16" s="6">
        <v>1</v>
      </c>
      <c r="H16" s="1" t="s">
        <v>65</v>
      </c>
      <c r="I16" s="1" t="s">
        <v>65</v>
      </c>
      <c r="J16" s="1" t="s">
        <v>65</v>
      </c>
      <c r="K16" s="1">
        <v>2</v>
      </c>
      <c r="L16" s="1">
        <v>2</v>
      </c>
      <c r="M16" t="s">
        <v>236</v>
      </c>
      <c r="N16" t="s">
        <v>164</v>
      </c>
      <c r="O16" t="s">
        <v>347</v>
      </c>
      <c r="P16">
        <v>1.8</v>
      </c>
    </row>
    <row r="17" spans="1:17" x14ac:dyDescent="0.25">
      <c r="H17" s="5" t="s">
        <v>430</v>
      </c>
      <c r="I17" t="s">
        <v>22</v>
      </c>
      <c r="J17" s="5" t="s">
        <v>239</v>
      </c>
      <c r="K17">
        <v>0</v>
      </c>
      <c r="L17" s="5">
        <v>-2</v>
      </c>
      <c r="M17" t="s">
        <v>236</v>
      </c>
      <c r="N17" t="s">
        <v>17</v>
      </c>
      <c r="O17" s="11">
        <v>24.471679999999999</v>
      </c>
      <c r="P17">
        <v>13.5</v>
      </c>
      <c r="Q17" t="s">
        <v>438</v>
      </c>
    </row>
    <row r="18" spans="1:17" x14ac:dyDescent="0.25">
      <c r="A18" t="s">
        <v>321</v>
      </c>
      <c r="B18" s="1" t="s">
        <v>244</v>
      </c>
      <c r="C18" t="s">
        <v>20</v>
      </c>
      <c r="D18" s="1" t="s">
        <v>244</v>
      </c>
      <c r="E18" s="1" t="s">
        <v>244</v>
      </c>
      <c r="F18" s="1">
        <v>2</v>
      </c>
      <c r="G18" s="1">
        <v>2</v>
      </c>
      <c r="H18" s="1" t="s">
        <v>245</v>
      </c>
      <c r="I18" s="1" t="s">
        <v>245</v>
      </c>
      <c r="J18" s="1" t="s">
        <v>246</v>
      </c>
      <c r="K18" s="1">
        <v>2</v>
      </c>
      <c r="L18" s="1">
        <v>2</v>
      </c>
      <c r="M18" t="s">
        <v>121</v>
      </c>
      <c r="N18" t="s">
        <v>348</v>
      </c>
      <c r="O18" t="s">
        <v>349</v>
      </c>
      <c r="P18">
        <v>47</v>
      </c>
    </row>
    <row r="19" spans="1:17" x14ac:dyDescent="0.25">
      <c r="H19" s="1" t="s">
        <v>250</v>
      </c>
      <c r="I19" s="5" t="s">
        <v>22</v>
      </c>
      <c r="J19" s="1" t="s">
        <v>250</v>
      </c>
      <c r="K19" s="5">
        <v>-1</v>
      </c>
      <c r="L19" s="1">
        <v>2</v>
      </c>
      <c r="M19" t="s">
        <v>121</v>
      </c>
      <c r="N19" t="s">
        <v>17</v>
      </c>
      <c r="O19" t="s">
        <v>350</v>
      </c>
      <c r="P19">
        <v>2.8</v>
      </c>
      <c r="Q19" t="s">
        <v>439</v>
      </c>
    </row>
    <row r="20" spans="1:17" x14ac:dyDescent="0.25">
      <c r="A20" t="s">
        <v>321</v>
      </c>
      <c r="B20" s="1" t="s">
        <v>256</v>
      </c>
      <c r="C20" t="s">
        <v>20</v>
      </c>
      <c r="D20" s="1" t="s">
        <v>256</v>
      </c>
      <c r="E20" s="5" t="s">
        <v>22</v>
      </c>
      <c r="F20" s="1">
        <v>2</v>
      </c>
      <c r="G20" s="5">
        <v>-1</v>
      </c>
      <c r="H20" s="1" t="s">
        <v>351</v>
      </c>
      <c r="I20" s="1" t="s">
        <v>352</v>
      </c>
      <c r="J20" s="5" t="s">
        <v>22</v>
      </c>
      <c r="K20" s="1">
        <v>2</v>
      </c>
      <c r="L20" s="5">
        <v>-1</v>
      </c>
      <c r="M20" t="s">
        <v>37</v>
      </c>
      <c r="N20" t="s">
        <v>353</v>
      </c>
      <c r="O20" t="s">
        <v>17</v>
      </c>
    </row>
    <row r="21" spans="1:17" x14ac:dyDescent="0.25">
      <c r="A21" t="s">
        <v>321</v>
      </c>
      <c r="B21" s="1" t="s">
        <v>257</v>
      </c>
      <c r="C21" t="s">
        <v>20</v>
      </c>
      <c r="D21" t="s">
        <v>258</v>
      </c>
      <c r="E21" t="s">
        <v>22</v>
      </c>
      <c r="F21">
        <v>0</v>
      </c>
      <c r="G21">
        <v>0</v>
      </c>
      <c r="M21" t="s">
        <v>275</v>
      </c>
      <c r="N21" t="s">
        <v>354</v>
      </c>
      <c r="O21" t="s">
        <v>17</v>
      </c>
      <c r="Q21" t="s">
        <v>145</v>
      </c>
    </row>
    <row r="22" spans="1:17" x14ac:dyDescent="0.25">
      <c r="A22" t="s">
        <v>321</v>
      </c>
      <c r="B22" s="1" t="s">
        <v>260</v>
      </c>
      <c r="C22" t="s">
        <v>20</v>
      </c>
      <c r="D22" t="s">
        <v>261</v>
      </c>
      <c r="E22" t="s">
        <v>22</v>
      </c>
      <c r="F22">
        <v>0</v>
      </c>
      <c r="G22">
        <v>0</v>
      </c>
      <c r="M22" t="s">
        <v>236</v>
      </c>
      <c r="N22" t="s">
        <v>144</v>
      </c>
      <c r="O22" t="s">
        <v>17</v>
      </c>
      <c r="Q22" t="s">
        <v>145</v>
      </c>
    </row>
    <row r="23" spans="1:17" x14ac:dyDescent="0.25">
      <c r="A23" t="s">
        <v>321</v>
      </c>
      <c r="B23" s="1" t="s">
        <v>355</v>
      </c>
      <c r="C23" t="s">
        <v>20</v>
      </c>
      <c r="D23" t="s">
        <v>356</v>
      </c>
      <c r="E23" t="s">
        <v>22</v>
      </c>
      <c r="F23">
        <v>0</v>
      </c>
      <c r="G23">
        <v>0</v>
      </c>
      <c r="M23" t="s">
        <v>169</v>
      </c>
      <c r="N23" t="s">
        <v>149</v>
      </c>
      <c r="O23" t="s">
        <v>17</v>
      </c>
      <c r="Q23" t="s">
        <v>145</v>
      </c>
    </row>
    <row r="24" spans="1:17" x14ac:dyDescent="0.25">
      <c r="A24" t="s">
        <v>321</v>
      </c>
      <c r="B24" s="5" t="s">
        <v>357</v>
      </c>
      <c r="C24" t="s">
        <v>20</v>
      </c>
      <c r="D24" t="s">
        <v>22</v>
      </c>
      <c r="E24" s="5" t="s">
        <v>358</v>
      </c>
      <c r="F24">
        <v>0</v>
      </c>
      <c r="G24" s="5">
        <v>-2</v>
      </c>
      <c r="H24" s="5" t="s">
        <v>359</v>
      </c>
      <c r="I24" t="s">
        <v>22</v>
      </c>
      <c r="J24" s="5" t="s">
        <v>360</v>
      </c>
      <c r="K24">
        <v>0</v>
      </c>
      <c r="L24" s="5">
        <v>-2</v>
      </c>
      <c r="M24" t="s">
        <v>17</v>
      </c>
      <c r="N24" t="s">
        <v>17</v>
      </c>
      <c r="O24" t="s">
        <v>361</v>
      </c>
      <c r="P24">
        <v>15</v>
      </c>
      <c r="Q24" t="s">
        <v>440</v>
      </c>
    </row>
    <row r="25" spans="1:17" x14ac:dyDescent="0.25">
      <c r="A25" t="s">
        <v>321</v>
      </c>
      <c r="B25" s="5" t="s">
        <v>442</v>
      </c>
      <c r="C25" t="s">
        <v>20</v>
      </c>
      <c r="D25" t="s">
        <v>22</v>
      </c>
      <c r="E25" s="5" t="s">
        <v>268</v>
      </c>
      <c r="F25">
        <v>0</v>
      </c>
      <c r="G25" s="5">
        <v>-2</v>
      </c>
      <c r="H25" s="5" t="s">
        <v>446</v>
      </c>
      <c r="I25" t="s">
        <v>22</v>
      </c>
      <c r="J25" s="5" t="s">
        <v>362</v>
      </c>
      <c r="K25">
        <v>0</v>
      </c>
      <c r="L25" s="5">
        <v>-2</v>
      </c>
      <c r="M25" t="s">
        <v>214</v>
      </c>
      <c r="N25" t="s">
        <v>17</v>
      </c>
      <c r="O25" s="11">
        <v>27.704699999999999</v>
      </c>
      <c r="P25">
        <v>16.3</v>
      </c>
      <c r="Q25" t="s">
        <v>441</v>
      </c>
    </row>
    <row r="26" spans="1:17" x14ac:dyDescent="0.25">
      <c r="A26" t="s">
        <v>321</v>
      </c>
      <c r="B26" s="1" t="s">
        <v>271</v>
      </c>
      <c r="C26" t="s">
        <v>20</v>
      </c>
      <c r="D26" t="s">
        <v>272</v>
      </c>
      <c r="E26" s="5" t="s">
        <v>272</v>
      </c>
      <c r="F26">
        <v>0</v>
      </c>
      <c r="G26" s="5">
        <v>-2</v>
      </c>
      <c r="H26" s="5" t="s">
        <v>273</v>
      </c>
      <c r="I26" t="s">
        <v>22</v>
      </c>
      <c r="J26" s="5" t="s">
        <v>274</v>
      </c>
      <c r="K26">
        <v>0</v>
      </c>
      <c r="L26" s="5">
        <v>-2</v>
      </c>
      <c r="M26" t="s">
        <v>17</v>
      </c>
      <c r="N26" t="s">
        <v>17</v>
      </c>
      <c r="O26" s="11">
        <v>26.072700000000001</v>
      </c>
      <c r="P26">
        <v>17.5</v>
      </c>
      <c r="Q26" t="s">
        <v>443</v>
      </c>
    </row>
    <row r="27" spans="1:17" x14ac:dyDescent="0.25">
      <c r="A27" t="s">
        <v>321</v>
      </c>
      <c r="B27" s="1" t="s">
        <v>71</v>
      </c>
      <c r="C27" t="s">
        <v>20</v>
      </c>
      <c r="D27" s="1" t="s">
        <v>71</v>
      </c>
      <c r="E27" s="6" t="s">
        <v>71</v>
      </c>
      <c r="F27" s="1">
        <v>2</v>
      </c>
      <c r="G27" s="6">
        <v>1</v>
      </c>
      <c r="H27" s="1" t="s">
        <v>363</v>
      </c>
      <c r="I27" s="1" t="s">
        <v>72</v>
      </c>
      <c r="J27" s="6" t="s">
        <v>73</v>
      </c>
      <c r="K27" s="1">
        <v>2</v>
      </c>
      <c r="L27" s="6">
        <v>1</v>
      </c>
      <c r="M27" t="s">
        <v>364</v>
      </c>
      <c r="N27" t="s">
        <v>365</v>
      </c>
      <c r="O27" t="s">
        <v>444</v>
      </c>
      <c r="P27">
        <v>47.6</v>
      </c>
      <c r="Q27" t="s">
        <v>445</v>
      </c>
    </row>
    <row r="28" spans="1:17" x14ac:dyDescent="0.25">
      <c r="A28" t="s">
        <v>321</v>
      </c>
      <c r="B28" s="1" t="s">
        <v>286</v>
      </c>
      <c r="C28" t="s">
        <v>20</v>
      </c>
      <c r="D28" s="1" t="s">
        <v>286</v>
      </c>
      <c r="E28" s="1" t="s">
        <v>286</v>
      </c>
      <c r="F28" s="1">
        <v>2</v>
      </c>
      <c r="G28" s="1">
        <v>2</v>
      </c>
      <c r="H28" s="1" t="s">
        <v>366</v>
      </c>
      <c r="I28" s="1" t="s">
        <v>366</v>
      </c>
      <c r="J28" s="1" t="s">
        <v>366</v>
      </c>
      <c r="K28" s="1">
        <v>2</v>
      </c>
      <c r="L28" s="1">
        <v>2</v>
      </c>
      <c r="M28" t="s">
        <v>143</v>
      </c>
      <c r="N28" t="s">
        <v>367</v>
      </c>
      <c r="O28" t="s">
        <v>368</v>
      </c>
      <c r="P28">
        <v>5.5</v>
      </c>
    </row>
    <row r="29" spans="1:17" x14ac:dyDescent="0.25">
      <c r="A29" t="s">
        <v>321</v>
      </c>
      <c r="B29" s="1" t="s">
        <v>289</v>
      </c>
      <c r="C29" t="s">
        <v>20</v>
      </c>
      <c r="D29" s="1" t="s">
        <v>289</v>
      </c>
      <c r="E29" s="1" t="s">
        <v>289</v>
      </c>
      <c r="F29" s="1">
        <v>2</v>
      </c>
      <c r="G29" s="1">
        <v>2</v>
      </c>
      <c r="H29" s="1" t="s">
        <v>369</v>
      </c>
      <c r="I29" s="1" t="s">
        <v>369</v>
      </c>
      <c r="J29" s="1" t="s">
        <v>369</v>
      </c>
      <c r="K29" s="1">
        <v>2</v>
      </c>
      <c r="L29" s="1">
        <v>2</v>
      </c>
      <c r="M29" t="s">
        <v>148</v>
      </c>
      <c r="N29" t="s">
        <v>313</v>
      </c>
      <c r="O29" t="s">
        <v>370</v>
      </c>
      <c r="P29">
        <v>8.3000000000000007</v>
      </c>
    </row>
    <row r="32" spans="1:17" ht="15.75" x14ac:dyDescent="0.25">
      <c r="A32" s="3" t="s">
        <v>77</v>
      </c>
      <c r="H32" s="3" t="s">
        <v>78</v>
      </c>
    </row>
    <row r="33" spans="1:11" x14ac:dyDescent="0.25">
      <c r="A33" s="4" t="s">
        <v>79</v>
      </c>
      <c r="F33">
        <f>COUNTIFS(B2:B29,"&lt;&gt;*_*",B2:B29,"&lt;&gt;")</f>
        <v>16</v>
      </c>
      <c r="H33" s="4" t="s">
        <v>79</v>
      </c>
      <c r="K33">
        <f>COUNTIFS(B2:B29,"&lt;&gt;*_*",B2:B29,"&lt;&gt;",R2:R29,"&lt;&gt;TRUE")</f>
        <v>16</v>
      </c>
    </row>
    <row r="34" spans="1:11" x14ac:dyDescent="0.25">
      <c r="A34" s="4" t="s">
        <v>80</v>
      </c>
      <c r="F34">
        <f>COUNTIFS(F2:F29,"&gt;0")</f>
        <v>16</v>
      </c>
      <c r="H34" s="4" t="s">
        <v>80</v>
      </c>
      <c r="K34">
        <f>COUNTIFS(F2:F29,"&gt;0",R2:R29,"&lt;&gt;TRUE")</f>
        <v>16</v>
      </c>
    </row>
    <row r="35" spans="1:11" x14ac:dyDescent="0.25">
      <c r="A35" s="4" t="s">
        <v>81</v>
      </c>
      <c r="F35">
        <f>COUNTIFS(G2:G29,"&gt;0")</f>
        <v>12</v>
      </c>
      <c r="H35" s="4" t="s">
        <v>81</v>
      </c>
      <c r="K35">
        <f>COUNTIFS(G2:G29,"&gt;0",S2:S29,"&lt;&gt;TRUE")</f>
        <v>12</v>
      </c>
    </row>
    <row r="36" spans="1:11" x14ac:dyDescent="0.25">
      <c r="A36" s="4" t="s">
        <v>82</v>
      </c>
      <c r="F36">
        <f>COUNTIFS(F2:F29,"&lt;&gt;-1",F2:F29,"&lt;&gt;0",F2:F29,"&lt;2")</f>
        <v>0</v>
      </c>
      <c r="H36" s="4" t="s">
        <v>82</v>
      </c>
      <c r="K36">
        <f>COUNTIFS(F2:F29,"&lt;&gt;-1",F2:F29,"&lt;&gt;0",F2:F29,"&lt;2",R2:R29,"&lt;&gt;TRUE")</f>
        <v>0</v>
      </c>
    </row>
    <row r="37" spans="1:11" x14ac:dyDescent="0.25">
      <c r="A37" s="4" t="s">
        <v>83</v>
      </c>
      <c r="F37">
        <f>COUNTIFS(G2:G29,"&lt;&gt;-1",G2:G29,"&lt;&gt;0",G2:G29,"&lt;2")</f>
        <v>7</v>
      </c>
      <c r="H37" s="4" t="s">
        <v>83</v>
      </c>
      <c r="K37">
        <f>COUNTIFS(G2:G29,"&lt;&gt;-1",G2:G29,"&lt;&gt;0",G2:G29,"&lt;2",S2:S29,"&lt;&gt;TRUE")</f>
        <v>7</v>
      </c>
    </row>
    <row r="38" spans="1:11" x14ac:dyDescent="0.25">
      <c r="A38" s="4" t="s">
        <v>84</v>
      </c>
      <c r="F38">
        <f>COUNTIFS(F2:F29,"=-1")+COUNTIFS(F2:F29,"=-3")</f>
        <v>0</v>
      </c>
      <c r="H38" s="4" t="s">
        <v>84</v>
      </c>
      <c r="K38">
        <f>COUNTIFS(F2:F29,"=-1",R2:R29,"&lt;&gt;TRUE")+COUNTIFS(F2:F29,"=-3",R2:R29,"&lt;&gt;TRUE")</f>
        <v>0</v>
      </c>
    </row>
    <row r="39" spans="1:11" x14ac:dyDescent="0.25">
      <c r="A39" s="4" t="s">
        <v>85</v>
      </c>
      <c r="F39">
        <f>COUNTIFS(G2:G29,"=-1")+COUNTIFS(G2:G29,"=-3")</f>
        <v>4</v>
      </c>
      <c r="H39" s="4" t="s">
        <v>85</v>
      </c>
      <c r="K39">
        <f>COUNTIFS(G2:G29,"=-1",S2:S29,"&lt;&gt;TRUE")+COUNTIFS(G2:G29,"=-3",S2:S29,"&lt;&gt;TRUE")</f>
        <v>4</v>
      </c>
    </row>
    <row r="40" spans="1:11" x14ac:dyDescent="0.25">
      <c r="A40" s="4" t="s">
        <v>86</v>
      </c>
      <c r="F40" s="8">
        <f>F34/F33</f>
        <v>1</v>
      </c>
      <c r="H40" s="4" t="s">
        <v>86</v>
      </c>
      <c r="K40" s="8">
        <f>K34/K33</f>
        <v>1</v>
      </c>
    </row>
    <row r="41" spans="1:11" x14ac:dyDescent="0.25">
      <c r="A41" s="4" t="s">
        <v>87</v>
      </c>
      <c r="F41" s="8">
        <f>F35/F33</f>
        <v>0.75</v>
      </c>
      <c r="H41" s="4" t="s">
        <v>88</v>
      </c>
      <c r="K41" s="8">
        <f>K35/K33</f>
        <v>0.75</v>
      </c>
    </row>
    <row r="42" spans="1:11" x14ac:dyDescent="0.25">
      <c r="A42" s="4" t="s">
        <v>89</v>
      </c>
      <c r="F42" s="8">
        <f>F34/(F34+F36)</f>
        <v>1</v>
      </c>
      <c r="H42" s="4" t="s">
        <v>89</v>
      </c>
      <c r="K42" s="8">
        <f>K34/(K34+K36)</f>
        <v>1</v>
      </c>
    </row>
    <row r="43" spans="1:11" x14ac:dyDescent="0.25">
      <c r="A43" s="4" t="s">
        <v>90</v>
      </c>
      <c r="F43" s="8">
        <f>F35/(F35+F37)</f>
        <v>0.63157894736842102</v>
      </c>
      <c r="H43" s="4" t="s">
        <v>90</v>
      </c>
      <c r="K43" s="8">
        <f>K35/(K35+K37)</f>
        <v>0.63157894736842102</v>
      </c>
    </row>
    <row r="46" spans="1:11" ht="15.75" x14ac:dyDescent="0.25">
      <c r="A46" s="3" t="s">
        <v>91</v>
      </c>
      <c r="H46" s="3" t="s">
        <v>92</v>
      </c>
    </row>
    <row r="47" spans="1:11" x14ac:dyDescent="0.25">
      <c r="A47" s="4" t="s">
        <v>79</v>
      </c>
      <c r="F47">
        <f>COUNTIFS(H2:H29,"&lt;&gt;*_FP",H2:H29,"&lt;&gt;",H2:H29,"&lt;&gt;no structure")</f>
        <v>18</v>
      </c>
      <c r="H47" s="4" t="s">
        <v>79</v>
      </c>
      <c r="K47">
        <f>COUNTIFS(H2:H29,"&lt;&gt;*_FP",H2:H29,"&lt;&gt;",H2:H29,"&lt;&gt;no structure",T2:T29,"&lt;&gt;TRUE")</f>
        <v>18</v>
      </c>
    </row>
    <row r="48" spans="1:11" x14ac:dyDescent="0.25">
      <c r="A48" s="4" t="s">
        <v>80</v>
      </c>
      <c r="F48">
        <f>COUNTIFS(K2:K29,"&gt;0")</f>
        <v>17</v>
      </c>
      <c r="H48" s="4" t="s">
        <v>80</v>
      </c>
      <c r="K48">
        <f>COUNTIFS(K2:K29,"&gt;0",T2:T29,"&lt;&gt;TRUE")</f>
        <v>17</v>
      </c>
    </row>
    <row r="49" spans="1:11" x14ac:dyDescent="0.25">
      <c r="A49" s="4" t="s">
        <v>81</v>
      </c>
      <c r="F49">
        <f>COUNTIFS(L2:L29,"&gt;0")</f>
        <v>13</v>
      </c>
      <c r="H49" s="4" t="s">
        <v>81</v>
      </c>
      <c r="K49">
        <f>COUNTIFS(L2:L29,"&gt;0",U2:U29,"&lt;&gt;TRUE")</f>
        <v>13</v>
      </c>
    </row>
    <row r="50" spans="1:11" x14ac:dyDescent="0.25">
      <c r="A50" s="4" t="s">
        <v>82</v>
      </c>
      <c r="F50">
        <f>COUNTIFS(K2:K29,"&lt;&gt;-1",K2:K29,"&lt;&gt;0",K2:K29,"&lt;2")</f>
        <v>0</v>
      </c>
      <c r="H50" s="4" t="s">
        <v>82</v>
      </c>
      <c r="K50">
        <f>COUNTIFS(K2:K29,"&lt;&gt;-1",K2:K29,"&lt;&gt;0",K2:K29,"&lt;2",T2:T29,"&lt;&gt;TRUE")</f>
        <v>0</v>
      </c>
    </row>
    <row r="51" spans="1:11" x14ac:dyDescent="0.25">
      <c r="A51" s="4" t="s">
        <v>83</v>
      </c>
      <c r="F51">
        <f>COUNTIFS(L2:L29,"&lt;&gt;-1",L2:L29,"&lt;&gt;0",L2:L29,"&lt;2")</f>
        <v>7</v>
      </c>
      <c r="H51" s="4" t="s">
        <v>83</v>
      </c>
      <c r="K51">
        <f>COUNTIFS(L2:L29,"&lt;&gt;-1",L2:L29,"&lt;&gt;0",L2:L29,"&lt;2",U2:U29,"&lt;&gt;TRUE")</f>
        <v>7</v>
      </c>
    </row>
    <row r="52" spans="1:11" x14ac:dyDescent="0.25">
      <c r="A52" s="4" t="s">
        <v>84</v>
      </c>
      <c r="F52">
        <f>COUNTIFS(K2:K29,"=-1")+COUNTIFS(K2:K29,"=-3")</f>
        <v>1</v>
      </c>
      <c r="H52" s="4" t="s">
        <v>84</v>
      </c>
      <c r="K52">
        <f>COUNTIFS(K2:K29,"=-1",T2:T29,"&lt;&gt;TRUE")+COUNTIFS(K2:K29,"=-3",T2:T29,"&lt;&gt;TRUE")</f>
        <v>1</v>
      </c>
    </row>
    <row r="53" spans="1:11" x14ac:dyDescent="0.25">
      <c r="A53" s="4" t="s">
        <v>85</v>
      </c>
      <c r="F53">
        <f>COUNTIFS(L2:L29,"=-1")+COUNTIFS(L2:L29,"=-3")</f>
        <v>5</v>
      </c>
      <c r="H53" s="4" t="s">
        <v>85</v>
      </c>
      <c r="K53">
        <f>COUNTIFS(L2:L29,"=-1",U2:U29,"&lt;&gt;TRUE")+COUNTIFS(L2:L29,"=-3",U2:U29,"&lt;&gt;TRUE")</f>
        <v>5</v>
      </c>
    </row>
    <row r="54" spans="1:11" x14ac:dyDescent="0.25">
      <c r="A54" s="4" t="s">
        <v>86</v>
      </c>
      <c r="F54" s="8">
        <f>F48/F47</f>
        <v>0.94444444444444442</v>
      </c>
      <c r="H54" s="4" t="s">
        <v>86</v>
      </c>
      <c r="K54" s="8">
        <f>K48/K47</f>
        <v>0.94444444444444442</v>
      </c>
    </row>
    <row r="55" spans="1:11" x14ac:dyDescent="0.25">
      <c r="A55" s="4" t="s">
        <v>87</v>
      </c>
      <c r="F55" s="8">
        <f>F49/F47</f>
        <v>0.72222222222222221</v>
      </c>
      <c r="H55" s="4" t="s">
        <v>88</v>
      </c>
      <c r="K55" s="8">
        <f>K49/K47</f>
        <v>0.72222222222222221</v>
      </c>
    </row>
    <row r="56" spans="1:11" x14ac:dyDescent="0.25">
      <c r="A56" s="4" t="s">
        <v>89</v>
      </c>
      <c r="F56" s="8">
        <f>F48/(F48+F50)</f>
        <v>1</v>
      </c>
      <c r="H56" s="4" t="s">
        <v>89</v>
      </c>
      <c r="K56" s="8">
        <f>K48/(K48+K50)</f>
        <v>1</v>
      </c>
    </row>
    <row r="57" spans="1:11" x14ac:dyDescent="0.25">
      <c r="A57" s="4" t="s">
        <v>90</v>
      </c>
      <c r="F57" s="8">
        <f>F49/(F49+F51)</f>
        <v>0.65</v>
      </c>
      <c r="H57" s="4" t="s">
        <v>90</v>
      </c>
      <c r="K57" s="8">
        <f>K49/(K49+K51)</f>
        <v>0.65</v>
      </c>
    </row>
    <row r="60" spans="1:11" ht="15.75" x14ac:dyDescent="0.25">
      <c r="A60" s="3" t="s">
        <v>93</v>
      </c>
    </row>
    <row r="61" spans="1:11" x14ac:dyDescent="0.25">
      <c r="A61" s="1" t="s">
        <v>94</v>
      </c>
    </row>
    <row r="62" spans="1:11" x14ac:dyDescent="0.25">
      <c r="A62" s="5" t="s">
        <v>95</v>
      </c>
    </row>
    <row r="64" spans="1:11" x14ac:dyDescent="0.25">
      <c r="A64" s="1" t="s">
        <v>96</v>
      </c>
    </row>
    <row r="65" spans="1:1" x14ac:dyDescent="0.25">
      <c r="A65" s="6" t="s">
        <v>97</v>
      </c>
    </row>
    <row r="66" spans="1:1" x14ac:dyDescent="0.25">
      <c r="A66" s="7" t="s">
        <v>98</v>
      </c>
    </row>
    <row r="67" spans="1:1" x14ac:dyDescent="0.25">
      <c r="A67" s="5" t="s">
        <v>99</v>
      </c>
    </row>
    <row r="69" spans="1:1" x14ac:dyDescent="0.25">
      <c r="A69" s="4" t="s">
        <v>100</v>
      </c>
    </row>
    <row r="70" spans="1:1" x14ac:dyDescent="0.25">
      <c r="A70" t="s">
        <v>101</v>
      </c>
    </row>
    <row r="71" spans="1:1" x14ac:dyDescent="0.25">
      <c r="A71" t="s">
        <v>102</v>
      </c>
    </row>
    <row r="72" spans="1:1" x14ac:dyDescent="0.25">
      <c r="A72" t="s">
        <v>103</v>
      </c>
    </row>
    <row r="73" spans="1:1" x14ac:dyDescent="0.25">
      <c r="A73" t="s">
        <v>104</v>
      </c>
    </row>
    <row r="74" spans="1:1" x14ac:dyDescent="0.25">
      <c r="A74" t="s">
        <v>105</v>
      </c>
    </row>
    <row r="75" spans="1:1" x14ac:dyDescent="0.25">
      <c r="A75" t="s">
        <v>106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opLeftCell="A13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371</v>
      </c>
      <c r="B2" s="1" t="s">
        <v>26</v>
      </c>
      <c r="C2" t="s">
        <v>20</v>
      </c>
      <c r="D2" s="1" t="s">
        <v>26</v>
      </c>
      <c r="E2" s="1" t="s">
        <v>26</v>
      </c>
      <c r="F2" s="1">
        <v>2</v>
      </c>
      <c r="G2" s="1">
        <v>2</v>
      </c>
      <c r="H2" s="1" t="s">
        <v>27</v>
      </c>
      <c r="I2" s="1" t="s">
        <v>27</v>
      </c>
      <c r="J2" s="1" t="s">
        <v>27</v>
      </c>
      <c r="K2" s="1">
        <v>2</v>
      </c>
      <c r="L2" s="1">
        <v>2</v>
      </c>
      <c r="M2" t="s">
        <v>372</v>
      </c>
      <c r="N2" t="s">
        <v>373</v>
      </c>
      <c r="O2" t="s">
        <v>374</v>
      </c>
      <c r="P2">
        <v>8.1</v>
      </c>
    </row>
    <row r="3" spans="1:21" x14ac:dyDescent="0.25">
      <c r="A3" t="s">
        <v>371</v>
      </c>
      <c r="B3" s="5" t="s">
        <v>451</v>
      </c>
      <c r="C3" t="s">
        <v>20</v>
      </c>
      <c r="D3" t="s">
        <v>22</v>
      </c>
      <c r="E3" s="5" t="s">
        <v>35</v>
      </c>
      <c r="F3">
        <v>0</v>
      </c>
      <c r="G3" s="5">
        <v>-2</v>
      </c>
      <c r="H3" s="5" t="s">
        <v>375</v>
      </c>
      <c r="I3" t="s">
        <v>22</v>
      </c>
      <c r="J3" s="5" t="s">
        <v>36</v>
      </c>
      <c r="K3">
        <v>0</v>
      </c>
      <c r="L3" s="5">
        <v>-2</v>
      </c>
      <c r="M3" t="s">
        <v>17</v>
      </c>
      <c r="N3" t="s">
        <v>17</v>
      </c>
      <c r="O3" t="s">
        <v>376</v>
      </c>
      <c r="P3">
        <v>1.2</v>
      </c>
      <c r="Q3" t="s">
        <v>448</v>
      </c>
    </row>
    <row r="4" spans="1:21" x14ac:dyDescent="0.25">
      <c r="H4" s="5" t="s">
        <v>377</v>
      </c>
      <c r="I4" t="s">
        <v>22</v>
      </c>
      <c r="J4" s="5" t="s">
        <v>198</v>
      </c>
      <c r="K4">
        <v>0</v>
      </c>
      <c r="L4" s="5">
        <v>-2</v>
      </c>
      <c r="M4" t="s">
        <v>17</v>
      </c>
      <c r="N4" t="s">
        <v>17</v>
      </c>
      <c r="O4" t="s">
        <v>378</v>
      </c>
      <c r="P4">
        <v>8.3000000000000007</v>
      </c>
      <c r="Q4" t="s">
        <v>448</v>
      </c>
    </row>
    <row r="5" spans="1:21" x14ac:dyDescent="0.25">
      <c r="A5" t="s">
        <v>371</v>
      </c>
      <c r="B5" s="5" t="s">
        <v>452</v>
      </c>
      <c r="C5" t="s">
        <v>20</v>
      </c>
      <c r="D5" t="s">
        <v>22</v>
      </c>
      <c r="E5" s="5" t="s">
        <v>39</v>
      </c>
      <c r="F5">
        <v>0</v>
      </c>
      <c r="G5" s="5">
        <v>-2</v>
      </c>
      <c r="H5" s="5" t="s">
        <v>379</v>
      </c>
      <c r="I5" t="s">
        <v>22</v>
      </c>
      <c r="J5" s="5" t="s">
        <v>40</v>
      </c>
      <c r="K5">
        <v>0</v>
      </c>
      <c r="L5" s="5">
        <v>-2</v>
      </c>
      <c r="M5" t="s">
        <v>17</v>
      </c>
      <c r="N5" t="s">
        <v>17</v>
      </c>
      <c r="O5" t="s">
        <v>380</v>
      </c>
      <c r="P5">
        <v>1</v>
      </c>
      <c r="Q5" t="s">
        <v>448</v>
      </c>
    </row>
    <row r="6" spans="1:21" x14ac:dyDescent="0.25">
      <c r="A6" t="s">
        <v>371</v>
      </c>
      <c r="B6" s="5" t="s">
        <v>381</v>
      </c>
      <c r="C6" t="s">
        <v>20</v>
      </c>
      <c r="D6" t="s">
        <v>22</v>
      </c>
      <c r="E6" s="5" t="s">
        <v>382</v>
      </c>
      <c r="F6">
        <v>0</v>
      </c>
      <c r="G6" s="5">
        <v>-2</v>
      </c>
      <c r="H6" s="5" t="s">
        <v>383</v>
      </c>
      <c r="I6" t="s">
        <v>22</v>
      </c>
      <c r="J6" s="5" t="s">
        <v>384</v>
      </c>
      <c r="K6">
        <v>0</v>
      </c>
      <c r="L6" s="5">
        <v>-2</v>
      </c>
      <c r="M6" t="s">
        <v>17</v>
      </c>
      <c r="N6" t="s">
        <v>17</v>
      </c>
      <c r="O6" s="11">
        <v>24.71397</v>
      </c>
      <c r="P6">
        <v>50</v>
      </c>
      <c r="Q6" t="s">
        <v>448</v>
      </c>
    </row>
    <row r="7" spans="1:21" x14ac:dyDescent="0.25">
      <c r="A7" t="s">
        <v>371</v>
      </c>
      <c r="B7" s="5" t="s">
        <v>453</v>
      </c>
      <c r="C7" t="s">
        <v>20</v>
      </c>
      <c r="D7" t="s">
        <v>22</v>
      </c>
      <c r="E7" s="5" t="s">
        <v>64</v>
      </c>
      <c r="F7">
        <v>0</v>
      </c>
      <c r="G7" s="5">
        <v>-2</v>
      </c>
      <c r="H7" s="5" t="s">
        <v>385</v>
      </c>
      <c r="I7" t="s">
        <v>22</v>
      </c>
      <c r="J7" s="5" t="s">
        <v>65</v>
      </c>
      <c r="K7">
        <v>0</v>
      </c>
      <c r="L7" s="5">
        <v>-2</v>
      </c>
      <c r="M7" t="s">
        <v>17</v>
      </c>
      <c r="N7" t="s">
        <v>17</v>
      </c>
      <c r="O7" t="s">
        <v>386</v>
      </c>
      <c r="P7">
        <v>1.8</v>
      </c>
      <c r="Q7" t="s">
        <v>449</v>
      </c>
    </row>
    <row r="8" spans="1:21" x14ac:dyDescent="0.25">
      <c r="A8" t="s">
        <v>371</v>
      </c>
      <c r="B8" s="5" t="s">
        <v>387</v>
      </c>
      <c r="C8" t="s">
        <v>20</v>
      </c>
      <c r="D8" t="s">
        <v>22</v>
      </c>
      <c r="E8" s="5" t="s">
        <v>388</v>
      </c>
      <c r="F8">
        <v>0</v>
      </c>
      <c r="G8" s="5">
        <v>-2</v>
      </c>
      <c r="H8" s="5" t="s">
        <v>389</v>
      </c>
      <c r="I8" t="s">
        <v>22</v>
      </c>
      <c r="J8" s="5" t="s">
        <v>390</v>
      </c>
      <c r="K8">
        <v>0</v>
      </c>
      <c r="L8" s="5">
        <v>-2</v>
      </c>
      <c r="M8" t="s">
        <v>17</v>
      </c>
      <c r="N8" t="s">
        <v>17</v>
      </c>
      <c r="O8" t="s">
        <v>391</v>
      </c>
      <c r="P8">
        <v>9.1999999999999993</v>
      </c>
      <c r="Q8" t="s">
        <v>448</v>
      </c>
    </row>
    <row r="9" spans="1:21" x14ac:dyDescent="0.25">
      <c r="A9" t="s">
        <v>371</v>
      </c>
      <c r="B9" s="1" t="s">
        <v>289</v>
      </c>
      <c r="C9" t="s">
        <v>20</v>
      </c>
      <c r="D9" s="1" t="s">
        <v>289</v>
      </c>
      <c r="E9" s="1" t="s">
        <v>289</v>
      </c>
      <c r="F9" s="1">
        <v>2</v>
      </c>
      <c r="G9" s="1">
        <v>2</v>
      </c>
      <c r="H9" s="1" t="s">
        <v>392</v>
      </c>
      <c r="I9" s="1" t="s">
        <v>392</v>
      </c>
      <c r="J9" s="1" t="s">
        <v>369</v>
      </c>
      <c r="K9" s="1">
        <v>2</v>
      </c>
      <c r="L9" s="1">
        <v>2</v>
      </c>
      <c r="M9" t="s">
        <v>17</v>
      </c>
      <c r="N9" t="s">
        <v>393</v>
      </c>
      <c r="O9" t="s">
        <v>394</v>
      </c>
      <c r="P9">
        <v>4.3</v>
      </c>
    </row>
    <row r="10" spans="1:21" x14ac:dyDescent="0.25">
      <c r="A10" t="s">
        <v>371</v>
      </c>
      <c r="B10" s="5" t="s">
        <v>395</v>
      </c>
      <c r="C10" t="s">
        <v>20</v>
      </c>
      <c r="D10" t="s">
        <v>22</v>
      </c>
      <c r="E10" s="5" t="s">
        <v>396</v>
      </c>
      <c r="F10">
        <v>0</v>
      </c>
      <c r="G10" s="5">
        <v>-2</v>
      </c>
      <c r="H10" s="5" t="s">
        <v>397</v>
      </c>
      <c r="I10" t="s">
        <v>22</v>
      </c>
      <c r="J10" s="5" t="s">
        <v>398</v>
      </c>
      <c r="K10">
        <v>0</v>
      </c>
      <c r="L10" s="5">
        <v>-2</v>
      </c>
      <c r="M10" t="s">
        <v>17</v>
      </c>
      <c r="N10" t="s">
        <v>17</v>
      </c>
      <c r="O10" t="s">
        <v>399</v>
      </c>
      <c r="P10">
        <v>32.6</v>
      </c>
      <c r="Q10" t="s">
        <v>448</v>
      </c>
    </row>
    <row r="11" spans="1:21" x14ac:dyDescent="0.25">
      <c r="A11" t="s">
        <v>371</v>
      </c>
      <c r="B11" s="5" t="s">
        <v>400</v>
      </c>
      <c r="C11" t="s">
        <v>20</v>
      </c>
      <c r="D11" t="s">
        <v>22</v>
      </c>
      <c r="E11" s="5" t="s">
        <v>401</v>
      </c>
      <c r="F11">
        <v>0</v>
      </c>
      <c r="G11" s="5">
        <v>-2</v>
      </c>
      <c r="H11" s="5" t="s">
        <v>402</v>
      </c>
      <c r="I11" t="s">
        <v>22</v>
      </c>
      <c r="J11" s="5" t="s">
        <v>403</v>
      </c>
      <c r="K11">
        <v>0</v>
      </c>
      <c r="L11" s="5">
        <v>-2</v>
      </c>
      <c r="M11" t="s">
        <v>17</v>
      </c>
      <c r="N11" t="s">
        <v>17</v>
      </c>
      <c r="O11" t="s">
        <v>404</v>
      </c>
      <c r="P11">
        <v>16.7</v>
      </c>
      <c r="Q11" t="s">
        <v>448</v>
      </c>
    </row>
    <row r="12" spans="1:21" x14ac:dyDescent="0.25">
      <c r="A12" t="s">
        <v>371</v>
      </c>
      <c r="B12" s="5" t="s">
        <v>405</v>
      </c>
      <c r="C12" t="s">
        <v>20</v>
      </c>
      <c r="D12" t="s">
        <v>22</v>
      </c>
      <c r="E12" s="5" t="s">
        <v>406</v>
      </c>
      <c r="F12">
        <v>0</v>
      </c>
      <c r="G12" s="5">
        <v>-2</v>
      </c>
      <c r="H12" s="5" t="s">
        <v>407</v>
      </c>
      <c r="I12" t="s">
        <v>22</v>
      </c>
      <c r="J12" s="5" t="s">
        <v>408</v>
      </c>
      <c r="K12">
        <v>0</v>
      </c>
      <c r="L12" s="5">
        <v>-2</v>
      </c>
      <c r="M12" t="s">
        <v>17</v>
      </c>
      <c r="N12" t="s">
        <v>17</v>
      </c>
      <c r="O12" t="s">
        <v>34</v>
      </c>
      <c r="P12">
        <v>40.700000000000003</v>
      </c>
      <c r="Q12" t="s">
        <v>450</v>
      </c>
    </row>
    <row r="15" spans="1:21" ht="15.75" x14ac:dyDescent="0.25">
      <c r="A15" s="3" t="s">
        <v>77</v>
      </c>
      <c r="H15" s="3" t="s">
        <v>78</v>
      </c>
    </row>
    <row r="16" spans="1:21" x14ac:dyDescent="0.25">
      <c r="A16" s="4" t="s">
        <v>79</v>
      </c>
      <c r="F16">
        <f>COUNTIFS(B2:B12,"&lt;&gt;*_*",B2:B12,"&lt;&gt;")</f>
        <v>2</v>
      </c>
      <c r="H16" s="4" t="s">
        <v>79</v>
      </c>
      <c r="K16">
        <f>COUNTIFS(B2:B12,"&lt;&gt;*_*",B2:B12,"&lt;&gt;",R2:R12,"&lt;&gt;TRUE")</f>
        <v>2</v>
      </c>
    </row>
    <row r="17" spans="1:11" x14ac:dyDescent="0.25">
      <c r="A17" s="4" t="s">
        <v>80</v>
      </c>
      <c r="F17">
        <f>COUNTIFS(F2:F12,"&gt;0")</f>
        <v>2</v>
      </c>
      <c r="H17" s="4" t="s">
        <v>80</v>
      </c>
      <c r="K17">
        <f>COUNTIFS(F2:F12,"&gt;0",R2:R12,"&lt;&gt;TRUE")</f>
        <v>2</v>
      </c>
    </row>
    <row r="18" spans="1:11" x14ac:dyDescent="0.25">
      <c r="A18" s="4" t="s">
        <v>81</v>
      </c>
      <c r="F18">
        <f>COUNTIFS(G2:G12,"&gt;0")</f>
        <v>2</v>
      </c>
      <c r="H18" s="4" t="s">
        <v>81</v>
      </c>
      <c r="K18">
        <f>COUNTIFS(G2:G12,"&gt;0",S2:S12,"&lt;&gt;TRUE")</f>
        <v>2</v>
      </c>
    </row>
    <row r="19" spans="1:11" x14ac:dyDescent="0.25">
      <c r="A19" s="4" t="s">
        <v>82</v>
      </c>
      <c r="F19">
        <f>COUNTIFS(F2:F12,"&lt;&gt;-1",F2:F12,"&lt;&gt;0",F2:F12,"&lt;2")</f>
        <v>0</v>
      </c>
      <c r="H19" s="4" t="s">
        <v>82</v>
      </c>
      <c r="K19">
        <f>COUNTIFS(F2:F12,"&lt;&gt;-1",F2:F12,"&lt;&gt;0",F2:F12,"&lt;2",R2:R12,"&lt;&gt;TRUE")</f>
        <v>0</v>
      </c>
    </row>
    <row r="20" spans="1:11" x14ac:dyDescent="0.25">
      <c r="A20" s="4" t="s">
        <v>83</v>
      </c>
      <c r="F20">
        <f>COUNTIFS(G2:G12,"&lt;&gt;-1",G2:G12,"&lt;&gt;0",G2:G12,"&lt;2")</f>
        <v>8</v>
      </c>
      <c r="H20" s="4" t="s">
        <v>83</v>
      </c>
      <c r="K20">
        <f>COUNTIFS(G2:G12,"&lt;&gt;-1",G2:G12,"&lt;&gt;0",G2:G12,"&lt;2",S2:S12,"&lt;&gt;TRUE")</f>
        <v>8</v>
      </c>
    </row>
    <row r="21" spans="1:11" x14ac:dyDescent="0.25">
      <c r="A21" s="4" t="s">
        <v>84</v>
      </c>
      <c r="F21">
        <f>COUNTIFS(F2:F12,"=-1")+COUNTIFS(F2:F12,"=-3")</f>
        <v>0</v>
      </c>
      <c r="H21" s="4" t="s">
        <v>84</v>
      </c>
      <c r="K21">
        <f>COUNTIFS(F2:F12,"=-1",R2:R12,"&lt;&gt;TRUE")+COUNTIFS(F2:F12,"=-3",R2:R12,"&lt;&gt;TRUE")</f>
        <v>0</v>
      </c>
    </row>
    <row r="22" spans="1:11" x14ac:dyDescent="0.25">
      <c r="A22" s="4" t="s">
        <v>85</v>
      </c>
      <c r="F22">
        <f>COUNTIFS(G2:G12,"=-1")+COUNTIFS(G2:G12,"=-3")</f>
        <v>0</v>
      </c>
      <c r="H22" s="4" t="s">
        <v>85</v>
      </c>
      <c r="K22">
        <f>COUNTIFS(G2:G12,"=-1",S2:S12,"&lt;&gt;TRUE")+COUNTIFS(G2:G12,"=-3",S2:S12,"&lt;&gt;TRUE")</f>
        <v>0</v>
      </c>
    </row>
    <row r="23" spans="1:11" x14ac:dyDescent="0.25">
      <c r="A23" s="4" t="s">
        <v>86</v>
      </c>
      <c r="F23" s="8">
        <f>F17/F16</f>
        <v>1</v>
      </c>
      <c r="H23" s="4" t="s">
        <v>86</v>
      </c>
      <c r="K23" s="8">
        <f>K17/K16</f>
        <v>1</v>
      </c>
    </row>
    <row r="24" spans="1:11" x14ac:dyDescent="0.25">
      <c r="A24" s="4" t="s">
        <v>87</v>
      </c>
      <c r="F24" s="8">
        <f>F18/F16</f>
        <v>1</v>
      </c>
      <c r="H24" s="4" t="s">
        <v>88</v>
      </c>
      <c r="K24" s="8">
        <f>K18/K16</f>
        <v>1</v>
      </c>
    </row>
    <row r="25" spans="1:11" x14ac:dyDescent="0.25">
      <c r="A25" s="4" t="s">
        <v>89</v>
      </c>
      <c r="F25" s="8">
        <f>F17/(F17+F19)</f>
        <v>1</v>
      </c>
      <c r="H25" s="4" t="s">
        <v>89</v>
      </c>
      <c r="K25" s="8">
        <f>K17/(K17+K19)</f>
        <v>1</v>
      </c>
    </row>
    <row r="26" spans="1:11" x14ac:dyDescent="0.25">
      <c r="A26" s="4" t="s">
        <v>90</v>
      </c>
      <c r="F26" s="8">
        <f>F18/(F18+F20)</f>
        <v>0.2</v>
      </c>
      <c r="H26" s="4" t="s">
        <v>90</v>
      </c>
      <c r="K26" s="8">
        <f>K18/(K18+K20)</f>
        <v>0.2</v>
      </c>
    </row>
    <row r="29" spans="1:11" ht="15.75" x14ac:dyDescent="0.25">
      <c r="A29" s="3" t="s">
        <v>91</v>
      </c>
      <c r="H29" s="3" t="s">
        <v>92</v>
      </c>
    </row>
    <row r="30" spans="1:11" x14ac:dyDescent="0.25">
      <c r="A30" s="4" t="s">
        <v>79</v>
      </c>
      <c r="F30">
        <f>COUNTIFS(H2:H12,"&lt;&gt;*_FP",H2:H12,"&lt;&gt;",H2:H12,"&lt;&gt;no structure")</f>
        <v>2</v>
      </c>
      <c r="H30" s="4" t="s">
        <v>79</v>
      </c>
      <c r="K30">
        <f>COUNTIFS(H2:H12,"&lt;&gt;*_FP",H2:H12,"&lt;&gt;",H2:H12,"&lt;&gt;no structure",T2:T12,"&lt;&gt;TRUE")</f>
        <v>2</v>
      </c>
    </row>
    <row r="31" spans="1:11" x14ac:dyDescent="0.25">
      <c r="A31" s="4" t="s">
        <v>80</v>
      </c>
      <c r="F31">
        <f>COUNTIFS(K2:K12,"&gt;0")</f>
        <v>2</v>
      </c>
      <c r="H31" s="4" t="s">
        <v>80</v>
      </c>
      <c r="K31">
        <f>COUNTIFS(K2:K12,"&gt;0",T2:T12,"&lt;&gt;TRUE")</f>
        <v>2</v>
      </c>
    </row>
    <row r="32" spans="1:11" x14ac:dyDescent="0.25">
      <c r="A32" s="4" t="s">
        <v>81</v>
      </c>
      <c r="F32">
        <f>COUNTIFS(L2:L12,"&gt;0")</f>
        <v>2</v>
      </c>
      <c r="H32" s="4" t="s">
        <v>81</v>
      </c>
      <c r="K32">
        <f>COUNTIFS(L2:L12,"&gt;0",U2:U12,"&lt;&gt;TRUE")</f>
        <v>2</v>
      </c>
    </row>
    <row r="33" spans="1:11" x14ac:dyDescent="0.25">
      <c r="A33" s="4" t="s">
        <v>82</v>
      </c>
      <c r="F33">
        <f>COUNTIFS(K2:K12,"&lt;&gt;-1",K2:K12,"&lt;&gt;0",K2:K12,"&lt;2")</f>
        <v>0</v>
      </c>
      <c r="H33" s="4" t="s">
        <v>82</v>
      </c>
      <c r="K33">
        <f>COUNTIFS(K2:K12,"&lt;&gt;-1",K2:K12,"&lt;&gt;0",K2:K12,"&lt;2",T2:T12,"&lt;&gt;TRUE")</f>
        <v>0</v>
      </c>
    </row>
    <row r="34" spans="1:11" x14ac:dyDescent="0.25">
      <c r="A34" s="4" t="s">
        <v>83</v>
      </c>
      <c r="F34">
        <f>COUNTIFS(L2:L12,"&lt;&gt;-1",L2:L12,"&lt;&gt;0",L2:L12,"&lt;2")</f>
        <v>9</v>
      </c>
      <c r="H34" s="4" t="s">
        <v>83</v>
      </c>
      <c r="K34">
        <f>COUNTIFS(L2:L12,"&lt;&gt;-1",L2:L12,"&lt;&gt;0",L2:L12,"&lt;2",U2:U12,"&lt;&gt;TRUE")</f>
        <v>9</v>
      </c>
    </row>
    <row r="35" spans="1:11" x14ac:dyDescent="0.25">
      <c r="A35" s="4" t="s">
        <v>84</v>
      </c>
      <c r="F35">
        <f>COUNTIFS(K2:K12,"=-1")+COUNTIFS(K2:K12,"=-3")</f>
        <v>0</v>
      </c>
      <c r="H35" s="4" t="s">
        <v>84</v>
      </c>
      <c r="K35">
        <f>COUNTIFS(K2:K12,"=-1",T2:T12,"&lt;&gt;TRUE")+COUNTIFS(K2:K12,"=-3",T2:T12,"&lt;&gt;TRUE")</f>
        <v>0</v>
      </c>
    </row>
    <row r="36" spans="1:11" x14ac:dyDescent="0.25">
      <c r="A36" s="4" t="s">
        <v>85</v>
      </c>
      <c r="F36">
        <f>COUNTIFS(L2:L12,"=-1")+COUNTIFS(L2:L12,"=-3")</f>
        <v>0</v>
      </c>
      <c r="H36" s="4" t="s">
        <v>85</v>
      </c>
      <c r="K36">
        <f>COUNTIFS(L2:L12,"=-1",U2:U12,"&lt;&gt;TRUE")+COUNTIFS(L2:L12,"=-3",U2:U12,"&lt;&gt;TRUE")</f>
        <v>0</v>
      </c>
    </row>
    <row r="37" spans="1:11" x14ac:dyDescent="0.25">
      <c r="A37" s="4" t="s">
        <v>86</v>
      </c>
      <c r="F37" s="8">
        <f>F31/F30</f>
        <v>1</v>
      </c>
      <c r="H37" s="4" t="s">
        <v>86</v>
      </c>
      <c r="K37" s="8">
        <f>K31/K30</f>
        <v>1</v>
      </c>
    </row>
    <row r="38" spans="1:11" x14ac:dyDescent="0.25">
      <c r="A38" s="4" t="s">
        <v>87</v>
      </c>
      <c r="F38" s="8">
        <f>F32/F30</f>
        <v>1</v>
      </c>
      <c r="H38" s="4" t="s">
        <v>88</v>
      </c>
      <c r="K38" s="8">
        <f>K32/K30</f>
        <v>1</v>
      </c>
    </row>
    <row r="39" spans="1:11" x14ac:dyDescent="0.25">
      <c r="A39" s="4" t="s">
        <v>89</v>
      </c>
      <c r="F39" s="8">
        <f>F31/(F31+F33)</f>
        <v>1</v>
      </c>
      <c r="H39" s="4" t="s">
        <v>89</v>
      </c>
      <c r="K39" s="8">
        <f>K31/(K31+K33)</f>
        <v>1</v>
      </c>
    </row>
    <row r="40" spans="1:11" x14ac:dyDescent="0.25">
      <c r="A40" s="4" t="s">
        <v>90</v>
      </c>
      <c r="F40" s="8">
        <f>F32/(F32+F34)</f>
        <v>0.18181818181818182</v>
      </c>
      <c r="H40" s="4" t="s">
        <v>90</v>
      </c>
      <c r="K40" s="8">
        <f>K32/(K32+K34)</f>
        <v>0.18181818181818182</v>
      </c>
    </row>
    <row r="43" spans="1:11" ht="15.75" x14ac:dyDescent="0.25">
      <c r="A43" s="3" t="s">
        <v>93</v>
      </c>
    </row>
    <row r="44" spans="1:11" x14ac:dyDescent="0.25">
      <c r="A44" s="1" t="s">
        <v>94</v>
      </c>
    </row>
    <row r="45" spans="1:11" x14ac:dyDescent="0.25">
      <c r="A45" s="5" t="s">
        <v>95</v>
      </c>
    </row>
    <row r="47" spans="1:11" x14ac:dyDescent="0.25">
      <c r="A47" s="1" t="s">
        <v>96</v>
      </c>
    </row>
    <row r="48" spans="1:11" x14ac:dyDescent="0.25">
      <c r="A48" s="6" t="s">
        <v>97</v>
      </c>
    </row>
    <row r="49" spans="1:1" x14ac:dyDescent="0.25">
      <c r="A49" s="7" t="s">
        <v>98</v>
      </c>
    </row>
    <row r="50" spans="1:1" x14ac:dyDescent="0.25">
      <c r="A50" s="5" t="s">
        <v>99</v>
      </c>
    </row>
    <row r="52" spans="1:1" x14ac:dyDescent="0.25">
      <c r="A52" s="4" t="s">
        <v>100</v>
      </c>
    </row>
    <row r="53" spans="1:1" x14ac:dyDescent="0.25">
      <c r="A53" t="s">
        <v>101</v>
      </c>
    </row>
    <row r="54" spans="1:1" x14ac:dyDescent="0.25">
      <c r="A54" t="s">
        <v>102</v>
      </c>
    </row>
    <row r="55" spans="1:1" x14ac:dyDescent="0.25">
      <c r="A55" t="s">
        <v>103</v>
      </c>
    </row>
    <row r="56" spans="1:1" x14ac:dyDescent="0.25">
      <c r="A56" t="s">
        <v>104</v>
      </c>
    </row>
    <row r="57" spans="1:1" x14ac:dyDescent="0.25">
      <c r="A57" t="s">
        <v>105</v>
      </c>
    </row>
    <row r="58" spans="1:1" x14ac:dyDescent="0.25">
      <c r="A58" t="s">
        <v>106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409</v>
      </c>
      <c r="B2" s="1" t="s">
        <v>322</v>
      </c>
      <c r="C2" t="s">
        <v>20</v>
      </c>
      <c r="D2" s="1" t="s">
        <v>322</v>
      </c>
      <c r="E2" s="5" t="s">
        <v>22</v>
      </c>
      <c r="F2" s="1">
        <v>2</v>
      </c>
      <c r="G2" s="5">
        <v>-1</v>
      </c>
      <c r="H2" t="s">
        <v>410</v>
      </c>
      <c r="I2" t="s">
        <v>411</v>
      </c>
      <c r="J2" t="s">
        <v>17</v>
      </c>
    </row>
    <row r="5" spans="1:14" ht="15.75" x14ac:dyDescent="0.25">
      <c r="A5" s="3" t="s">
        <v>77</v>
      </c>
      <c r="H5" s="3" t="s">
        <v>78</v>
      </c>
    </row>
    <row r="6" spans="1:14" x14ac:dyDescent="0.25">
      <c r="A6" s="4" t="s">
        <v>79</v>
      </c>
      <c r="F6">
        <f>COUNTIFS(B2:B2,"&lt;&gt;*_*",B2:B2,"&lt;&gt;")</f>
        <v>1</v>
      </c>
      <c r="H6" s="4" t="s">
        <v>79</v>
      </c>
      <c r="K6">
        <f>COUNTIFS(B2:B2,"&lt;&gt;*_*",B2:B2,"&lt;&gt;",M2:M2,"&lt;&gt;TRUE")</f>
        <v>1</v>
      </c>
    </row>
    <row r="7" spans="1:14" x14ac:dyDescent="0.25">
      <c r="A7" s="4" t="s">
        <v>80</v>
      </c>
      <c r="F7">
        <f>COUNTIFS(F2:F2,"&gt;0")</f>
        <v>1</v>
      </c>
      <c r="H7" s="4" t="s">
        <v>80</v>
      </c>
      <c r="K7">
        <f>COUNTIFS(F2:F2,"&gt;0",M2:M2,"&lt;&gt;TRUE")</f>
        <v>1</v>
      </c>
    </row>
    <row r="8" spans="1:14" x14ac:dyDescent="0.25">
      <c r="A8" s="4" t="s">
        <v>81</v>
      </c>
      <c r="F8">
        <f>COUNTIFS(G2:G2,"&gt;0")</f>
        <v>0</v>
      </c>
      <c r="H8" s="4" t="s">
        <v>81</v>
      </c>
      <c r="K8">
        <f>COUNTIFS(G2:G2,"&gt;0",N2:N2,"&lt;&gt;TRUE")</f>
        <v>0</v>
      </c>
    </row>
    <row r="9" spans="1:14" x14ac:dyDescent="0.25">
      <c r="A9" s="4" t="s">
        <v>82</v>
      </c>
      <c r="F9">
        <f>COUNTIFS(F2:F2,"&lt;&gt;-1",F2:F2,"&lt;&gt;0",F2:F2,"&lt;2")</f>
        <v>0</v>
      </c>
      <c r="H9" s="4" t="s">
        <v>82</v>
      </c>
      <c r="K9">
        <f>COUNTIFS(F2:F2,"&lt;&gt;-1",F2:F2,"&lt;&gt;0",F2:F2,"&lt;2",M2:M2,"&lt;&gt;TRUE")</f>
        <v>0</v>
      </c>
    </row>
    <row r="10" spans="1:14" x14ac:dyDescent="0.25">
      <c r="A10" s="4" t="s">
        <v>83</v>
      </c>
      <c r="F10">
        <f>COUNTIFS(G2:G2,"&lt;&gt;-1",G2:G2,"&lt;&gt;0",G2:G2,"&lt;2")</f>
        <v>0</v>
      </c>
      <c r="H10" s="4" t="s">
        <v>83</v>
      </c>
      <c r="K10">
        <f>COUNTIFS(G2:G2,"&lt;&gt;-1",G2:G2,"&lt;&gt;0",G2:G2,"&lt;2",N2:N2,"&lt;&gt;TRUE")</f>
        <v>0</v>
      </c>
    </row>
    <row r="11" spans="1:14" x14ac:dyDescent="0.25">
      <c r="A11" s="4" t="s">
        <v>84</v>
      </c>
      <c r="F11">
        <f>COUNTIFS(F2:F2,"=-1")+COUNTIFS(F2:F2,"=-3")</f>
        <v>0</v>
      </c>
      <c r="H11" s="4" t="s">
        <v>84</v>
      </c>
      <c r="K11">
        <f>COUNTIFS(F2:F2,"=-1",M2:M2,"&lt;&gt;TRUE")+COUNTIFS(F2:F2,"=-3",M2:M2,"&lt;&gt;TRUE")</f>
        <v>0</v>
      </c>
    </row>
    <row r="12" spans="1:14" x14ac:dyDescent="0.25">
      <c r="A12" s="4" t="s">
        <v>85</v>
      </c>
      <c r="F12">
        <f>COUNTIFS(G2:G2,"=-1")+COUNTIFS(G2:G2,"=-3")</f>
        <v>1</v>
      </c>
      <c r="H12" s="4" t="s">
        <v>85</v>
      </c>
      <c r="K12">
        <f>COUNTIFS(G2:G2,"=-1",N2:N2,"&lt;&gt;TRUE")+COUNTIFS(G2:G2,"=-3",N2:N2,"&lt;&gt;TRUE")</f>
        <v>1</v>
      </c>
    </row>
    <row r="13" spans="1:14" x14ac:dyDescent="0.25">
      <c r="A13" s="4" t="s">
        <v>86</v>
      </c>
      <c r="F13" s="8">
        <f>F7/F6</f>
        <v>1</v>
      </c>
      <c r="H13" s="4" t="s">
        <v>86</v>
      </c>
      <c r="K13" s="8">
        <f>K7/K6</f>
        <v>1</v>
      </c>
    </row>
    <row r="14" spans="1:14" x14ac:dyDescent="0.25">
      <c r="A14" s="4" t="s">
        <v>87</v>
      </c>
      <c r="F14" s="8">
        <f>F8/F6</f>
        <v>0</v>
      </c>
      <c r="H14" s="4" t="s">
        <v>88</v>
      </c>
      <c r="K14" s="8">
        <f>K8/K6</f>
        <v>0</v>
      </c>
    </row>
    <row r="15" spans="1:14" x14ac:dyDescent="0.25">
      <c r="A15" s="4" t="s">
        <v>89</v>
      </c>
      <c r="F15" s="8">
        <f>F7/(F7+F9)</f>
        <v>1</v>
      </c>
      <c r="H15" s="4" t="s">
        <v>89</v>
      </c>
      <c r="K15" s="8">
        <f>K7/(K7+K9)</f>
        <v>1</v>
      </c>
    </row>
    <row r="16" spans="1:14" x14ac:dyDescent="0.25">
      <c r="A16" s="4" t="s">
        <v>90</v>
      </c>
      <c r="F16" s="10" t="s">
        <v>417</v>
      </c>
      <c r="H16" s="4" t="s">
        <v>90</v>
      </c>
      <c r="K16" s="10" t="s">
        <v>417</v>
      </c>
    </row>
    <row r="19" spans="1:1" ht="15.75" x14ac:dyDescent="0.25">
      <c r="A19" s="3" t="s">
        <v>93</v>
      </c>
    </row>
    <row r="20" spans="1:1" x14ac:dyDescent="0.25">
      <c r="A20" s="1" t="s">
        <v>94</v>
      </c>
    </row>
    <row r="21" spans="1:1" x14ac:dyDescent="0.25">
      <c r="A21" s="5" t="s">
        <v>95</v>
      </c>
    </row>
    <row r="23" spans="1:1" x14ac:dyDescent="0.25">
      <c r="A23" s="1" t="s">
        <v>96</v>
      </c>
    </row>
    <row r="24" spans="1:1" x14ac:dyDescent="0.25">
      <c r="A24" s="6" t="s">
        <v>97</v>
      </c>
    </row>
    <row r="25" spans="1:1" x14ac:dyDescent="0.25">
      <c r="A25" s="7" t="s">
        <v>98</v>
      </c>
    </row>
    <row r="26" spans="1:1" x14ac:dyDescent="0.25">
      <c r="A26" s="5" t="s">
        <v>99</v>
      </c>
    </row>
    <row r="28" spans="1:1" x14ac:dyDescent="0.25">
      <c r="A28" s="4" t="s">
        <v>100</v>
      </c>
    </row>
    <row r="29" spans="1:1" x14ac:dyDescent="0.25">
      <c r="A29" t="s">
        <v>101</v>
      </c>
    </row>
    <row r="30" spans="1:1" x14ac:dyDescent="0.25">
      <c r="A30" t="s">
        <v>102</v>
      </c>
    </row>
    <row r="31" spans="1:1" x14ac:dyDescent="0.25">
      <c r="A31" t="s">
        <v>103</v>
      </c>
    </row>
    <row r="32" spans="1:1" x14ac:dyDescent="0.25">
      <c r="A32" t="s">
        <v>104</v>
      </c>
    </row>
    <row r="33" spans="1:1" x14ac:dyDescent="0.25">
      <c r="A33" t="s">
        <v>105</v>
      </c>
    </row>
    <row r="34" spans="1:1" x14ac:dyDescent="0.25">
      <c r="A34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2017-03-17T14:43:54Z</dcterms:created>
  <dcterms:modified xsi:type="dcterms:W3CDTF">2017-05-03T10:22:06Z</dcterms:modified>
</cp:coreProperties>
</file>