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320" windowHeight="7665"/>
  </bookViews>
  <sheets>
    <sheet name="Summary" sheetId="9" r:id="rId1"/>
    <sheet name="PI" sheetId="1" r:id="rId2"/>
    <sheet name="P-PE" sheetId="2" r:id="rId3"/>
    <sheet name="LPE" sheetId="3" r:id="rId4"/>
    <sheet name="PS" sheetId="4" r:id="rId5"/>
    <sheet name="PC" sheetId="5" r:id="rId6"/>
    <sheet name="PE" sheetId="6" r:id="rId7"/>
    <sheet name="PG" sheetId="7" r:id="rId8"/>
    <sheet name="Cer" sheetId="8" r:id="rId9"/>
  </sheets>
  <calcPr calcId="145621"/>
</workbook>
</file>

<file path=xl/calcChain.xml><?xml version="1.0" encoding="utf-8"?>
<calcChain xmlns="http://schemas.openxmlformats.org/spreadsheetml/2006/main">
  <c r="I13" i="9" l="1"/>
  <c r="Q13" i="9"/>
  <c r="O13" i="9"/>
  <c r="Q30" i="9" l="1"/>
  <c r="O30" i="9"/>
  <c r="M30" i="9"/>
  <c r="K30" i="9"/>
  <c r="I30" i="9"/>
  <c r="G30" i="9"/>
  <c r="E30" i="9"/>
  <c r="C30" i="9"/>
  <c r="I28" i="9"/>
  <c r="G28" i="9"/>
  <c r="E28" i="9"/>
  <c r="C28" i="9"/>
  <c r="Q27" i="9"/>
  <c r="M27" i="9"/>
  <c r="K27" i="9"/>
  <c r="I27" i="9"/>
  <c r="E27" i="9"/>
  <c r="C27" i="9"/>
  <c r="Q26" i="9"/>
  <c r="O26" i="9"/>
  <c r="M26" i="9"/>
  <c r="K26" i="9"/>
  <c r="I26" i="9"/>
  <c r="G26" i="9"/>
  <c r="E26" i="9"/>
  <c r="C26" i="9"/>
  <c r="Q25" i="9"/>
  <c r="O25" i="9"/>
  <c r="M25" i="9"/>
  <c r="K25" i="9"/>
  <c r="I25" i="9"/>
  <c r="G25" i="9"/>
  <c r="E25" i="9"/>
  <c r="C25" i="9"/>
  <c r="Q24" i="9"/>
  <c r="O24" i="9"/>
  <c r="M24" i="9"/>
  <c r="K24" i="9"/>
  <c r="I24" i="9"/>
  <c r="G24" i="9"/>
  <c r="E24" i="9"/>
  <c r="C24" i="9"/>
  <c r="I23" i="9"/>
  <c r="G23" i="9"/>
  <c r="E23" i="9"/>
  <c r="C23" i="9"/>
  <c r="Q22" i="9"/>
  <c r="O22" i="9"/>
  <c r="M22" i="9"/>
  <c r="K22" i="9"/>
  <c r="I22" i="9"/>
  <c r="G22" i="9"/>
  <c r="E22" i="9"/>
  <c r="C22" i="9"/>
  <c r="Q21" i="9"/>
  <c r="O21" i="9"/>
  <c r="M21" i="9"/>
  <c r="K21" i="9"/>
  <c r="I21" i="9"/>
  <c r="G21" i="9"/>
  <c r="E21" i="9"/>
  <c r="C21" i="9"/>
  <c r="M13" i="9"/>
  <c r="K13" i="9"/>
  <c r="G13" i="9"/>
  <c r="E13" i="9"/>
  <c r="C13" i="9"/>
  <c r="I11" i="9"/>
  <c r="G11" i="9"/>
  <c r="E11" i="9"/>
  <c r="C11" i="9"/>
  <c r="Q10" i="9"/>
  <c r="M10" i="9"/>
  <c r="K10" i="9"/>
  <c r="I10" i="9"/>
  <c r="E10" i="9"/>
  <c r="C10" i="9"/>
  <c r="Q9" i="9"/>
  <c r="O9" i="9"/>
  <c r="M9" i="9"/>
  <c r="K9" i="9"/>
  <c r="I9" i="9"/>
  <c r="G9" i="9"/>
  <c r="E9" i="9"/>
  <c r="C9" i="9"/>
  <c r="Q8" i="9"/>
  <c r="O8" i="9"/>
  <c r="M8" i="9"/>
  <c r="K8" i="9"/>
  <c r="I8" i="9"/>
  <c r="G8" i="9"/>
  <c r="E8" i="9"/>
  <c r="C8" i="9"/>
  <c r="Q7" i="9"/>
  <c r="O7" i="9"/>
  <c r="M7" i="9"/>
  <c r="K7" i="9"/>
  <c r="I7" i="9"/>
  <c r="G7" i="9"/>
  <c r="E7" i="9"/>
  <c r="C7" i="9"/>
  <c r="I6" i="9"/>
  <c r="G6" i="9"/>
  <c r="E6" i="9"/>
  <c r="C6" i="9"/>
  <c r="Q5" i="9"/>
  <c r="O5" i="9"/>
  <c r="M5" i="9"/>
  <c r="K5" i="9"/>
  <c r="I5" i="9"/>
  <c r="G5" i="9"/>
  <c r="E5" i="9"/>
  <c r="C5" i="9"/>
  <c r="Q4" i="9"/>
  <c r="O4" i="9"/>
  <c r="M4" i="9"/>
  <c r="K4" i="9"/>
  <c r="I4" i="9"/>
  <c r="G4" i="9"/>
  <c r="E4" i="9"/>
  <c r="C4" i="9"/>
  <c r="K13" i="8" l="1"/>
  <c r="F13" i="8"/>
  <c r="K12" i="8"/>
  <c r="F12" i="8"/>
  <c r="K11" i="8"/>
  <c r="F11" i="8"/>
  <c r="K10" i="8"/>
  <c r="F10" i="8"/>
  <c r="K9" i="8"/>
  <c r="F9" i="8"/>
  <c r="K8" i="8"/>
  <c r="K16" i="8" s="1"/>
  <c r="F8" i="8"/>
  <c r="F16" i="8" s="1"/>
  <c r="K7" i="8"/>
  <c r="K15" i="8" s="1"/>
  <c r="F7" i="8"/>
  <c r="F15" i="8" s="1"/>
  <c r="K6" i="8"/>
  <c r="K14" i="8" s="1"/>
  <c r="F6" i="8"/>
  <c r="K34" i="7"/>
  <c r="F34" i="7"/>
  <c r="K33" i="7"/>
  <c r="F33" i="7"/>
  <c r="K32" i="7"/>
  <c r="F32" i="7"/>
  <c r="K31" i="7"/>
  <c r="F31" i="7"/>
  <c r="K30" i="7"/>
  <c r="F30" i="7"/>
  <c r="F38" i="7" s="1"/>
  <c r="K29" i="7"/>
  <c r="F29" i="7"/>
  <c r="K28" i="7"/>
  <c r="K35" i="7" s="1"/>
  <c r="F28" i="7"/>
  <c r="K20" i="7"/>
  <c r="F20" i="7"/>
  <c r="K19" i="7"/>
  <c r="F19" i="7"/>
  <c r="K18" i="7"/>
  <c r="F18" i="7"/>
  <c r="K17" i="7"/>
  <c r="F17" i="7"/>
  <c r="K16" i="7"/>
  <c r="F16" i="7"/>
  <c r="F24" i="7" s="1"/>
  <c r="K15" i="7"/>
  <c r="F15" i="7"/>
  <c r="K14" i="7"/>
  <c r="F14" i="7"/>
  <c r="K56" i="6"/>
  <c r="F56" i="6"/>
  <c r="K55" i="6"/>
  <c r="F55" i="6"/>
  <c r="K54" i="6"/>
  <c r="F54" i="6"/>
  <c r="K53" i="6"/>
  <c r="F53" i="6"/>
  <c r="K52" i="6"/>
  <c r="F52" i="6"/>
  <c r="K51" i="6"/>
  <c r="F51" i="6"/>
  <c r="K50" i="6"/>
  <c r="F50" i="6"/>
  <c r="K42" i="6"/>
  <c r="F42" i="6"/>
  <c r="K41" i="6"/>
  <c r="F41" i="6"/>
  <c r="K40" i="6"/>
  <c r="F40" i="6"/>
  <c r="K39" i="6"/>
  <c r="F39" i="6"/>
  <c r="K38" i="6"/>
  <c r="F38" i="6"/>
  <c r="K37" i="6"/>
  <c r="F37" i="6"/>
  <c r="K36" i="6"/>
  <c r="F36" i="6"/>
  <c r="K85" i="5"/>
  <c r="F85" i="5"/>
  <c r="K84" i="5"/>
  <c r="F84" i="5"/>
  <c r="K83" i="5"/>
  <c r="F83" i="5"/>
  <c r="K82" i="5"/>
  <c r="F82" i="5"/>
  <c r="K81" i="5"/>
  <c r="F81" i="5"/>
  <c r="K80" i="5"/>
  <c r="F80" i="5"/>
  <c r="F88" i="5" s="1"/>
  <c r="K79" i="5"/>
  <c r="K86" i="5" s="1"/>
  <c r="F79" i="5"/>
  <c r="K71" i="5"/>
  <c r="F71" i="5"/>
  <c r="K70" i="5"/>
  <c r="F70" i="5"/>
  <c r="K69" i="5"/>
  <c r="F69" i="5"/>
  <c r="K68" i="5"/>
  <c r="F68" i="5"/>
  <c r="K67" i="5"/>
  <c r="K73" i="5" s="1"/>
  <c r="F67" i="5"/>
  <c r="K66" i="5"/>
  <c r="K72" i="5" s="1"/>
  <c r="F66" i="5"/>
  <c r="F72" i="5" s="1"/>
  <c r="K65" i="5"/>
  <c r="F65" i="5"/>
  <c r="K28" i="4"/>
  <c r="F28" i="4"/>
  <c r="K27" i="4"/>
  <c r="F27" i="4"/>
  <c r="K26" i="4"/>
  <c r="F26" i="4"/>
  <c r="K25" i="4"/>
  <c r="F25" i="4"/>
  <c r="K24" i="4"/>
  <c r="K32" i="4" s="1"/>
  <c r="F24" i="4"/>
  <c r="F32" i="4" s="1"/>
  <c r="K23" i="4"/>
  <c r="K29" i="4" s="1"/>
  <c r="F23" i="4"/>
  <c r="F31" i="4" s="1"/>
  <c r="K22" i="4"/>
  <c r="K30" i="4" s="1"/>
  <c r="F22" i="4"/>
  <c r="F29" i="4" s="1"/>
  <c r="K15" i="4"/>
  <c r="F15" i="4"/>
  <c r="K14" i="4"/>
  <c r="F14" i="4"/>
  <c r="K13" i="4"/>
  <c r="F13" i="4"/>
  <c r="K12" i="4"/>
  <c r="F12" i="4"/>
  <c r="K11" i="4"/>
  <c r="F11" i="4"/>
  <c r="K10" i="4"/>
  <c r="K18" i="4" s="1"/>
  <c r="F10" i="4"/>
  <c r="F18" i="4" s="1"/>
  <c r="K9" i="4"/>
  <c r="K17" i="4" s="1"/>
  <c r="F9" i="4"/>
  <c r="F17" i="4" s="1"/>
  <c r="K8" i="4"/>
  <c r="K16" i="4" s="1"/>
  <c r="F8" i="4"/>
  <c r="K13" i="3"/>
  <c r="K12" i="3"/>
  <c r="F12" i="3"/>
  <c r="K11" i="3"/>
  <c r="F11" i="3"/>
  <c r="K10" i="3"/>
  <c r="F10" i="3"/>
  <c r="K9" i="3"/>
  <c r="F9" i="3"/>
  <c r="K8" i="3"/>
  <c r="K14" i="3" s="1"/>
  <c r="F8" i="3"/>
  <c r="F16" i="3" s="1"/>
  <c r="K7" i="3"/>
  <c r="K15" i="3" s="1"/>
  <c r="F7" i="3"/>
  <c r="F15" i="3" s="1"/>
  <c r="K6" i="3"/>
  <c r="F6" i="3"/>
  <c r="K27" i="2"/>
  <c r="F27" i="2"/>
  <c r="K26" i="2"/>
  <c r="F26" i="2"/>
  <c r="K25" i="2"/>
  <c r="F25" i="2"/>
  <c r="K24" i="2"/>
  <c r="F24" i="2"/>
  <c r="K23" i="2"/>
  <c r="K29" i="2" s="1"/>
  <c r="F23" i="2"/>
  <c r="F31" i="2" s="1"/>
  <c r="K22" i="2"/>
  <c r="K28" i="2" s="1"/>
  <c r="F22" i="2"/>
  <c r="F28" i="2" s="1"/>
  <c r="K21" i="2"/>
  <c r="F21" i="2"/>
  <c r="F29" i="2" s="1"/>
  <c r="K13" i="2"/>
  <c r="F13" i="2"/>
  <c r="K12" i="2"/>
  <c r="F12" i="2"/>
  <c r="K11" i="2"/>
  <c r="F11" i="2"/>
  <c r="K10" i="2"/>
  <c r="F10" i="2"/>
  <c r="K9" i="2"/>
  <c r="K17" i="2" s="1"/>
  <c r="F9" i="2"/>
  <c r="F17" i="2" s="1"/>
  <c r="K8" i="2"/>
  <c r="K14" i="2" s="1"/>
  <c r="F8" i="2"/>
  <c r="F16" i="2" s="1"/>
  <c r="K7" i="2"/>
  <c r="K15" i="2" s="1"/>
  <c r="F7" i="2"/>
  <c r="F14" i="2" s="1"/>
  <c r="K35" i="1"/>
  <c r="F35" i="1"/>
  <c r="K34" i="1"/>
  <c r="F34" i="1"/>
  <c r="K33" i="1"/>
  <c r="F33" i="1"/>
  <c r="K32" i="1"/>
  <c r="F32" i="1"/>
  <c r="K31" i="1"/>
  <c r="F31" i="1"/>
  <c r="K30" i="1"/>
  <c r="F30" i="1"/>
  <c r="K29" i="1"/>
  <c r="F29" i="1"/>
  <c r="F36" i="1" s="1"/>
  <c r="K21" i="1"/>
  <c r="F21" i="1"/>
  <c r="K20" i="1"/>
  <c r="F20" i="1"/>
  <c r="K19" i="1"/>
  <c r="F19" i="1"/>
  <c r="K18" i="1"/>
  <c r="F18" i="1"/>
  <c r="K17" i="1"/>
  <c r="F17" i="1"/>
  <c r="K16" i="1"/>
  <c r="F16" i="1"/>
  <c r="K15" i="1"/>
  <c r="F15" i="1"/>
  <c r="K21" i="7" l="1"/>
  <c r="K36" i="7"/>
  <c r="K22" i="7"/>
  <c r="F22" i="7"/>
  <c r="F45" i="6"/>
  <c r="K45" i="6"/>
  <c r="F46" i="6"/>
  <c r="K44" i="6"/>
  <c r="F43" i="6"/>
  <c r="K43" i="6"/>
  <c r="K46" i="6"/>
  <c r="K60" i="6"/>
  <c r="F59" i="6"/>
  <c r="F60" i="6"/>
  <c r="K58" i="6"/>
  <c r="F57" i="6"/>
  <c r="K57" i="6"/>
  <c r="K88" i="5"/>
  <c r="K87" i="5"/>
  <c r="F75" i="5"/>
  <c r="F89" i="5"/>
  <c r="F73" i="5"/>
  <c r="F39" i="1"/>
  <c r="K39" i="1"/>
  <c r="K37" i="1"/>
  <c r="F38" i="1"/>
  <c r="K38" i="1"/>
  <c r="K36" i="1"/>
  <c r="K22" i="1"/>
  <c r="F24" i="1"/>
  <c r="K24" i="1"/>
  <c r="K23" i="1"/>
  <c r="F23" i="1"/>
  <c r="F25" i="1"/>
  <c r="F74" i="5"/>
  <c r="K25" i="1"/>
  <c r="K16" i="3"/>
  <c r="K74" i="5"/>
  <c r="K89" i="5"/>
  <c r="K38" i="7"/>
  <c r="F22" i="1"/>
  <c r="F37" i="1"/>
  <c r="F13" i="3"/>
  <c r="F16" i="4"/>
  <c r="F86" i="5"/>
  <c r="F44" i="6"/>
  <c r="F35" i="7"/>
  <c r="F14" i="8"/>
  <c r="F30" i="2"/>
  <c r="F30" i="4"/>
  <c r="K30" i="2"/>
  <c r="K31" i="4"/>
  <c r="K59" i="6"/>
  <c r="K24" i="7"/>
  <c r="F14" i="3"/>
  <c r="F87" i="5"/>
  <c r="F21" i="7"/>
  <c r="F36" i="7"/>
  <c r="F15" i="2"/>
  <c r="K16" i="2"/>
  <c r="K31" i="2"/>
  <c r="K75" i="5"/>
  <c r="F58" i="6"/>
</calcChain>
</file>

<file path=xl/sharedStrings.xml><?xml version="1.0" encoding="utf-8"?>
<sst xmlns="http://schemas.openxmlformats.org/spreadsheetml/2006/main" count="1977" uniqueCount="494">
  <si>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</si>
  <si>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</si>
  <si>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</si>
  <si>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</si>
  <si>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</si>
  <si>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</si>
  <si>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</si>
  <si>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</si>
  <si>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</si>
  <si>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</si>
  <si>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</si>
  <si>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</si>
  <si>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</si>
  <si>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</si>
  <si>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</si>
  <si>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</si>
  <si>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</si>
  <si>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</si>
  <si>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PI</t>
  </si>
  <si>
    <t>30:5_FP</t>
  </si>
  <si>
    <t>-H</t>
  </si>
  <si>
    <t>30:5</t>
  </si>
  <si>
    <t>not reported</t>
  </si>
  <si>
    <t>31:5_FP</t>
  </si>
  <si>
    <t>31:5</t>
  </si>
  <si>
    <t>34:2</t>
  </si>
  <si>
    <t>17:1/17:1_FP</t>
  </si>
  <si>
    <t>17:1/17:1</t>
  </si>
  <si>
    <t>21.96573</t>
  </si>
  <si>
    <t>36:0_FP</t>
  </si>
  <si>
    <t>36:0</t>
  </si>
  <si>
    <t>18:0/18:0_FP</t>
  </si>
  <si>
    <t>18:0/18:0</t>
  </si>
  <si>
    <t>20.56710</t>
  </si>
  <si>
    <t>36:3</t>
  </si>
  <si>
    <t>18:1/18:2</t>
  </si>
  <si>
    <t>22.6</t>
  </si>
  <si>
    <t>22.49142</t>
  </si>
  <si>
    <t>36:4</t>
  </si>
  <si>
    <t>16:0/20:4</t>
  </si>
  <si>
    <t>22.0</t>
  </si>
  <si>
    <t xml:space="preserve">22.03 </t>
  </si>
  <si>
    <t>21.93793 22.18705</t>
  </si>
  <si>
    <t>37:4</t>
  </si>
  <si>
    <t>17:0/20:4</t>
  </si>
  <si>
    <t>22.8</t>
  </si>
  <si>
    <t xml:space="preserve">22.91 </t>
  </si>
  <si>
    <t>22.93477</t>
  </si>
  <si>
    <t>38:3</t>
  </si>
  <si>
    <t>20:3/18:0 18:0/20:3</t>
  </si>
  <si>
    <t>38:4</t>
  </si>
  <si>
    <t>18:0/20:4</t>
  </si>
  <si>
    <t>23.8</t>
  </si>
  <si>
    <t xml:space="preserve">23.78 </t>
  </si>
  <si>
    <t>23.68257 23.92777</t>
  </si>
  <si>
    <t>38:5</t>
  </si>
  <si>
    <t>18:1/20:4</t>
  </si>
  <si>
    <t>22.3</t>
  </si>
  <si>
    <t xml:space="preserve">22.41 </t>
  </si>
  <si>
    <t>22.33898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</si>
  <si>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</si>
  <si>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</si>
  <si>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</si>
  <si>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</si>
  <si>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</si>
  <si>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</si>
  <si>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</si>
  <si>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</si>
  <si>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</si>
  <si>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</si>
  <si>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</si>
  <si>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</si>
  <si>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</si>
  <si>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</si>
  <si>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</si>
  <si>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</si>
  <si>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</si>
  <si>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</si>
  <si>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</si>
  <si>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</si>
  <si>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</si>
  <si>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</si>
  <si>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</si>
  <si>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</si>
  <si>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</si>
  <si>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</si>
  <si>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</si>
  <si>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</si>
  <si>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</si>
  <si>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</si>
  <si>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P-PE</t>
  </si>
  <si>
    <t>P-16:0/20:4</t>
  </si>
  <si>
    <t>25.8</t>
  </si>
  <si>
    <t xml:space="preserve">25.76 </t>
  </si>
  <si>
    <t>25.81835</t>
  </si>
  <si>
    <t>P-18:0/20:4</t>
  </si>
  <si>
    <t>27.3</t>
  </si>
  <si>
    <t>27.40490</t>
  </si>
  <si>
    <t>LPE</t>
  </si>
  <si>
    <t>18:0</t>
  </si>
  <si>
    <t>11.0</t>
  </si>
  <si>
    <t>11.13</t>
  </si>
  <si>
    <t>11.15987</t>
  </si>
  <si>
    <t>PS</t>
  </si>
  <si>
    <t>24.3</t>
  </si>
  <si>
    <t xml:space="preserve">24.14 </t>
  </si>
  <si>
    <t>24.1317</t>
  </si>
  <si>
    <t>38:6</t>
  </si>
  <si>
    <t>16:0/22:6</t>
  </si>
  <si>
    <t>22:6/16:0 16:0/22:6</t>
  </si>
  <si>
    <t>22.39453 22.39453</t>
  </si>
  <si>
    <t>40:6</t>
  </si>
  <si>
    <t>18:0/22:6</t>
  </si>
  <si>
    <t>22:6/18:0 18:0/22:6</t>
  </si>
  <si>
    <t>24.1</t>
  </si>
  <si>
    <t xml:space="preserve">23.89 </t>
  </si>
  <si>
    <t>23.7622 24.10387 23.7622 24.10387</t>
  </si>
  <si>
    <t>PC</t>
  </si>
  <si>
    <t>22:0_FP</t>
  </si>
  <si>
    <t>-CH3</t>
  </si>
  <si>
    <t>22:0</t>
  </si>
  <si>
    <t>10:0/12:0_FP</t>
  </si>
  <si>
    <t>10:0/12:0</t>
  </si>
  <si>
    <t>17.91135</t>
  </si>
  <si>
    <t>30:1_FP</t>
  </si>
  <si>
    <t>HCOO</t>
  </si>
  <si>
    <t>30:1</t>
  </si>
  <si>
    <t>15:0/15:1 15:1/15:0_FP</t>
  </si>
  <si>
    <t>15:0/15:1 15:1/15:0</t>
  </si>
  <si>
    <t>32:2_noMS2</t>
  </si>
  <si>
    <t>32:2</t>
  </si>
  <si>
    <t>23.6</t>
  </si>
  <si>
    <t>24.01</t>
  </si>
  <si>
    <t>not counted: only MS1 identification</t>
  </si>
  <si>
    <t>34:0</t>
  </si>
  <si>
    <t>18:0/16:0</t>
  </si>
  <si>
    <t>18:0/16:0 16:0/18:0</t>
  </si>
  <si>
    <t>28.1</t>
  </si>
  <si>
    <t>17:0/17:0_FP</t>
  </si>
  <si>
    <t>17:0/17:0</t>
  </si>
  <si>
    <t>28.24637</t>
  </si>
  <si>
    <t>34:1</t>
  </si>
  <si>
    <t>16:0/18:1</t>
  </si>
  <si>
    <t>26.5</t>
  </si>
  <si>
    <t xml:space="preserve">26.60 </t>
  </si>
  <si>
    <t>26.5657 27.3100</t>
  </si>
  <si>
    <t>16:0/18:2</t>
  </si>
  <si>
    <t>25.1</t>
  </si>
  <si>
    <t xml:space="preserve">25.26 </t>
  </si>
  <si>
    <t>25.09792 25.31925 25.54082 25.79053</t>
  </si>
  <si>
    <t>25.19465 25.69348</t>
  </si>
  <si>
    <t>34:3_noMS2</t>
  </si>
  <si>
    <t>34:3</t>
  </si>
  <si>
    <t>24.0</t>
  </si>
  <si>
    <t>34:4_noMS2</t>
  </si>
  <si>
    <t>34:4</t>
  </si>
  <si>
    <t>23.3</t>
  </si>
  <si>
    <t>23.53</t>
  </si>
  <si>
    <t>35:1_noMS2</t>
  </si>
  <si>
    <t>35:1</t>
  </si>
  <si>
    <t>17:1/18:0_FP</t>
  </si>
  <si>
    <t>17:1/18:0</t>
  </si>
  <si>
    <t>26.22063 26.48495</t>
  </si>
  <si>
    <t>35:2_noMS2</t>
  </si>
  <si>
    <t>35:2</t>
  </si>
  <si>
    <t>26.1</t>
  </si>
  <si>
    <t>26.25</t>
  </si>
  <si>
    <t>35:3_noMS2</t>
  </si>
  <si>
    <t>35:3</t>
  </si>
  <si>
    <t>24.8</t>
  </si>
  <si>
    <t>24.89</t>
  </si>
  <si>
    <t>36:0_noMS2</t>
  </si>
  <si>
    <t>17:0/19:0 19:0/17:0_FP</t>
  </si>
  <si>
    <t>17:0/19:0 19:0/17:0</t>
  </si>
  <si>
    <t>28.52122</t>
  </si>
  <si>
    <t>36:1</t>
  </si>
  <si>
    <t>18:0/18:1</t>
  </si>
  <si>
    <t>28.5</t>
  </si>
  <si>
    <t xml:space="preserve">28.44 </t>
  </si>
  <si>
    <t>27.06613 28.34077 28.58930 28.88993 29.10687 29.53380 30.27348</t>
  </si>
  <si>
    <t>10:0/26:1_FP</t>
  </si>
  <si>
    <t>10:0/26:1</t>
  </si>
  <si>
    <t>31.87923</t>
  </si>
  <si>
    <t>14:0/22:1_FP</t>
  </si>
  <si>
    <t>14:0/22:1</t>
  </si>
  <si>
    <t>12:0/24:1_FP</t>
  </si>
  <si>
    <t>12:0/24:1</t>
  </si>
  <si>
    <t>28.4242 28.71427 29.20358 29.65877</t>
  </si>
  <si>
    <t>36:2</t>
  </si>
  <si>
    <t>18:0/18:2</t>
  </si>
  <si>
    <t>27.1</t>
  </si>
  <si>
    <t xml:space="preserve">27.07 </t>
  </si>
  <si>
    <t>26.88768 27.10460 27.34925 27.59702 27.89958 28.09347 28.36860 32.62103</t>
  </si>
  <si>
    <t>27.13245 27.37705 27.62485 28.12132</t>
  </si>
  <si>
    <t>16:0/20:3</t>
  </si>
  <si>
    <t>16:0/20:3 20:3/16:0</t>
  </si>
  <si>
    <t>25.6</t>
  </si>
  <si>
    <t>25.91537 26.24093 25.91537 26.24093</t>
  </si>
  <si>
    <t>25.62427</t>
  </si>
  <si>
    <t>25.7213 25.94318</t>
  </si>
  <si>
    <t xml:space="preserve">25.01 </t>
  </si>
  <si>
    <t>24.94540 25.1668 25.56863</t>
  </si>
  <si>
    <t>18:2/18:2</t>
  </si>
  <si>
    <t>24.3812</t>
  </si>
  <si>
    <t>24.97325 25.25030</t>
  </si>
  <si>
    <t>37:2_noMS2</t>
  </si>
  <si>
    <t>37:2</t>
  </si>
  <si>
    <t>28.0</t>
  </si>
  <si>
    <t>27.94</t>
  </si>
  <si>
    <t>15:1/22:1_FP</t>
  </si>
  <si>
    <t>15:1/22:1</t>
  </si>
  <si>
    <t>19.88045</t>
  </si>
  <si>
    <t>37:4_noMS2</t>
  </si>
  <si>
    <t>26.01</t>
  </si>
  <si>
    <t>38:1_noMS2</t>
  </si>
  <si>
    <t>38:1</t>
  </si>
  <si>
    <t>30.5</t>
  </si>
  <si>
    <t>30.17</t>
  </si>
  <si>
    <t>38:2</t>
  </si>
  <si>
    <t>18:0/20:2</t>
  </si>
  <si>
    <t>18:0/20:2 20:2/18:0</t>
  </si>
  <si>
    <t>28.6</t>
  </si>
  <si>
    <t>12:0/26:2_FP</t>
  </si>
  <si>
    <t>12:0/26:2</t>
  </si>
  <si>
    <t>29.63093 30.00263</t>
  </si>
  <si>
    <t>18:0/20:3</t>
  </si>
  <si>
    <t>27.6</t>
  </si>
  <si>
    <t xml:space="preserve">27.57 </t>
  </si>
  <si>
    <t>26.76882 27.47415 27.72187 28.02457 28.21852 26.76882 27.47415 27.72187 28.02457 28.21852</t>
  </si>
  <si>
    <t>27.74968 27.99673 28.30203 27.74968 27.99673 28.30203</t>
  </si>
  <si>
    <t>26.6</t>
  </si>
  <si>
    <t xml:space="preserve">26.71 </t>
  </si>
  <si>
    <t>26.62878 26.85982 27.16027 27.43272 27.77752 28.05237 29.07903</t>
  </si>
  <si>
    <t>26.74098 27.01043 27.25723 27.52985</t>
  </si>
  <si>
    <t>25.3</t>
  </si>
  <si>
    <t xml:space="preserve">25.51 </t>
  </si>
  <si>
    <t>25.47172 25.66565 25.97102</t>
  </si>
  <si>
    <t>22:5/16:0 16:0/22:5</t>
  </si>
  <si>
    <t>24.6</t>
  </si>
  <si>
    <t xml:space="preserve">24.64 </t>
  </si>
  <si>
    <t>24.50512 24.82075 24.50512 24.82075</t>
  </si>
  <si>
    <t>18:2/20:4</t>
  </si>
  <si>
    <t>24.20085 24.50512 24.82075</t>
  </si>
  <si>
    <t>22:6/16:0</t>
  </si>
  <si>
    <t>24.57410 24.79292 25.99887</t>
  </si>
  <si>
    <t>39:6_noMS2</t>
  </si>
  <si>
    <t>39:6</t>
  </si>
  <si>
    <t>25.39</t>
  </si>
  <si>
    <t>39:7_noMS2</t>
  </si>
  <si>
    <t>39:7</t>
  </si>
  <si>
    <t>24.5</t>
  </si>
  <si>
    <t>23.89</t>
  </si>
  <si>
    <t>40:4_noMS2</t>
  </si>
  <si>
    <t>40:4</t>
  </si>
  <si>
    <t>28.69</t>
  </si>
  <si>
    <t>40:5_noMS2</t>
  </si>
  <si>
    <t>40:5</t>
  </si>
  <si>
    <t>18:0/22:5 22:5/18:0_FP</t>
  </si>
  <si>
    <t>18:0/22:5 22:5/18:0</t>
  </si>
  <si>
    <t>22:6_18:0</t>
  </si>
  <si>
    <t xml:space="preserve">26.25 </t>
  </si>
  <si>
    <t>26.16498 26.42932 26.16498 26.42932</t>
  </si>
  <si>
    <t>18:1/22:5</t>
  </si>
  <si>
    <t>26.42932</t>
  </si>
  <si>
    <t>20:3/20:3_FP</t>
  </si>
  <si>
    <t>20:3/20:3</t>
  </si>
  <si>
    <t>26.16498</t>
  </si>
  <si>
    <t>22:6/18:0</t>
  </si>
  <si>
    <t>26.22063 26.48495 26.22063 26.48495</t>
  </si>
  <si>
    <t>40:7_noMS2</t>
  </si>
  <si>
    <t>40:7</t>
  </si>
  <si>
    <t>40:8_noMS2</t>
  </si>
  <si>
    <t>40:8</t>
  </si>
  <si>
    <t>41:6_noMS2</t>
  </si>
  <si>
    <t>41:6</t>
  </si>
  <si>
    <t>27.0</t>
  </si>
  <si>
    <t>27.44</t>
  </si>
  <si>
    <t>42:7_noMS2</t>
  </si>
  <si>
    <t>42:7</t>
  </si>
  <si>
    <t>26.71</t>
  </si>
  <si>
    <t>42:9_noMS2</t>
  </si>
  <si>
    <t>42:9</t>
  </si>
  <si>
    <t>24.64</t>
  </si>
  <si>
    <t>PE</t>
  </si>
  <si>
    <t>24:0</t>
  </si>
  <si>
    <t>12:0/12:0</t>
  </si>
  <si>
    <t>17.6</t>
  </si>
  <si>
    <t xml:space="preserve">17.76 </t>
  </si>
  <si>
    <t>34:0_noMS2</t>
  </si>
  <si>
    <t>27.57</t>
  </si>
  <si>
    <t>18:1_16:0</t>
  </si>
  <si>
    <t>26.3</t>
  </si>
  <si>
    <t>26.27673</t>
  </si>
  <si>
    <t>25.0</t>
  </si>
  <si>
    <t>25.07010</t>
  </si>
  <si>
    <t>25.89</t>
  </si>
  <si>
    <t>27.8</t>
  </si>
  <si>
    <t>27.84393</t>
  </si>
  <si>
    <t>20:1_16:0</t>
  </si>
  <si>
    <t>18:2_18:0</t>
  </si>
  <si>
    <t>26.8</t>
  </si>
  <si>
    <t>18:2_18:1</t>
  </si>
  <si>
    <t xml:space="preserve">25.39 </t>
  </si>
  <si>
    <t>25.44390</t>
  </si>
  <si>
    <t xml:space="preserve">24.89 </t>
  </si>
  <si>
    <t>24.91760</t>
  </si>
  <si>
    <t>24.04823</t>
  </si>
  <si>
    <t>36:5</t>
  </si>
  <si>
    <t>16:1/20:4</t>
  </si>
  <si>
    <t>20:4_16:1</t>
  </si>
  <si>
    <t>23.5</t>
  </si>
  <si>
    <t xml:space="preserve">23.53 </t>
  </si>
  <si>
    <t>23.55765</t>
  </si>
  <si>
    <t>18:3/18:2</t>
  </si>
  <si>
    <t>18:2/18:3</t>
  </si>
  <si>
    <t>22.83782</t>
  </si>
  <si>
    <t>25.76</t>
  </si>
  <si>
    <t>37:6</t>
  </si>
  <si>
    <t>15:0/22:6</t>
  </si>
  <si>
    <t>23.61325</t>
  </si>
  <si>
    <t xml:space="preserve">26.50 </t>
  </si>
  <si>
    <t>26.4015</t>
  </si>
  <si>
    <t>25.29143</t>
  </si>
  <si>
    <t xml:space="preserve">24.39 </t>
  </si>
  <si>
    <t>24.35335 24.54628 24.35335 24.54628</t>
  </si>
  <si>
    <t>23.97918</t>
  </si>
  <si>
    <t>38:7</t>
  </si>
  <si>
    <t>16:1/22:6</t>
  </si>
  <si>
    <t>22:6/16:1</t>
  </si>
  <si>
    <t>23.1</t>
  </si>
  <si>
    <t xml:space="preserve">23.16 </t>
  </si>
  <si>
    <t>23.14288</t>
  </si>
  <si>
    <t>18:3/20:4</t>
  </si>
  <si>
    <t>39:0_FP</t>
  </si>
  <si>
    <t>39:0</t>
  </si>
  <si>
    <t>21:0/18:0_FP</t>
  </si>
  <si>
    <t>21:0/18:0</t>
  </si>
  <si>
    <t xml:space="preserve">24.76 </t>
  </si>
  <si>
    <t>25.26</t>
  </si>
  <si>
    <t>18:0/22:4 22:4/18:0</t>
  </si>
  <si>
    <t>18:0_22:6</t>
  </si>
  <si>
    <t>26.0</t>
  </si>
  <si>
    <t xml:space="preserve">26.01 </t>
  </si>
  <si>
    <t>24.57410 24.79292 25.99887 24.57410 24.79292 25.99887</t>
  </si>
  <si>
    <t>18:1/22:6</t>
  </si>
  <si>
    <t>24.72387</t>
  </si>
  <si>
    <t>18:2/22:6</t>
  </si>
  <si>
    <t>23.51662</t>
  </si>
  <si>
    <t>PG</t>
  </si>
  <si>
    <t>24.25637</t>
  </si>
  <si>
    <t>23.0</t>
  </si>
  <si>
    <t>23.08723</t>
  </si>
  <si>
    <t>18:1/18:1_FP</t>
  </si>
  <si>
    <t>18:1/18:1</t>
  </si>
  <si>
    <t>28.86585</t>
  </si>
  <si>
    <t>18:1/18:2_FP</t>
  </si>
  <si>
    <t>27.03828 27.5577</t>
  </si>
  <si>
    <t>18:1/20:4_FP</t>
  </si>
  <si>
    <t>26.79663 27.2822</t>
  </si>
  <si>
    <t>18:0/21:0 21:0/18:0_FP</t>
  </si>
  <si>
    <t>18:0/21:0 21:0/18:0</t>
  </si>
  <si>
    <t>26.30455 26.30455</t>
  </si>
  <si>
    <t>40:7_FP</t>
  </si>
  <si>
    <t>18:1/22:6_FP</t>
  </si>
  <si>
    <t>26.30455</t>
  </si>
  <si>
    <t>42:4_FP</t>
  </si>
  <si>
    <t>42:4</t>
  </si>
  <si>
    <t>20:4/22:0_FP</t>
  </si>
  <si>
    <t>20:4/22:0</t>
  </si>
  <si>
    <t>25.59643</t>
  </si>
  <si>
    <t>44:11_FP</t>
  </si>
  <si>
    <t>44:11</t>
  </si>
  <si>
    <t>22:5/22:6 22:6/22:5_FP</t>
  </si>
  <si>
    <t>22:5/22:6 22:6/22:5</t>
  </si>
  <si>
    <t>Cer</t>
  </si>
  <si>
    <t>24:1</t>
  </si>
  <si>
    <t>30.6</t>
  </si>
  <si>
    <t>30.66</t>
  </si>
  <si>
    <t>30.80653</t>
  </si>
  <si>
    <t>LDA: FP</t>
  </si>
  <si>
    <t>LB: wrong chain combination - not found in any of the other searches, and no fragments present</t>
  </si>
  <si>
    <t>LB: impossible retention time</t>
  </si>
  <si>
    <t>36:3_FP</t>
  </si>
  <si>
    <t>LB: the spectrum belongs to the second isotopic peak of PI36:4</t>
  </si>
  <si>
    <t>23.7343 24.29770</t>
  </si>
  <si>
    <t>LB: the spectrum is from the second isotopic peak 38:4, second one looks good; LDA: removed by MS1 algorithm (+1 isotope)</t>
  </si>
  <si>
    <t>LDA: fragmentation rules</t>
  </si>
  <si>
    <t>LDA: this spectrum consists of noise only</t>
  </si>
  <si>
    <t>LB: highly unlikely - no HCOO fragment found, and not detected on any other platform</t>
  </si>
  <si>
    <t>LB: the detection of 30:1 without the stronger 30:0 is unlikely - furthermore, this one was not found on any other platform</t>
  </si>
  <si>
    <t>LB: there are no fragments for 17:0 present</t>
  </si>
  <si>
    <t>LB: the spectrum is not a PC_H spectrum and retention time: species should elute later than 34:1</t>
  </si>
  <si>
    <t>LB: this spectrum belongs to the second isotopic peak of PC 36:1</t>
  </si>
  <si>
    <t>LB: spectra before 27.5min belong to the second isotopic peak of 36:2</t>
  </si>
  <si>
    <t>LB: the peak 29.6min is something else, showing a strong precursor which is not typical for PC_-CH3 fragments</t>
  </si>
  <si>
    <t>LB: the retention time of the identification at 32min is impossible</t>
  </si>
  <si>
    <t>LDA: the spectrum is outside the peak borders</t>
  </si>
  <si>
    <t>LB: FP chain combination</t>
  </si>
  <si>
    <t>LB: the spectrum before 27min belongs to the second isotopic peak of PC 38:4</t>
  </si>
  <si>
    <t>LB: the spectrum at 29.1min is something else</t>
  </si>
  <si>
    <t>LB: the spectrum at 24.7min belongs to the second isotopic peak of PC 38:5; LDA: chain cutoff</t>
  </si>
  <si>
    <t>LB: spectra at 26min belong to PE 40:6</t>
  </si>
  <si>
    <t>LB: spectrum belongs to second isotopic peak of PC 40:6</t>
  </si>
  <si>
    <t>LB: there are whether for 18:1 nor for 22:5 fragments present, but it has been found on other platforms -&gt; correct</t>
  </si>
  <si>
    <t>LB: there are no 20:3 fragments present; and this combination was not found on any other platform</t>
  </si>
  <si>
    <t>16:0/22:5_FP</t>
  </si>
  <si>
    <t>LDA: FP - spectrum is at second isotopic peak of PE 36:2</t>
  </si>
  <si>
    <t>16:0/20:1_FP</t>
  </si>
  <si>
    <t>LDA: spectrum is outside MS1 peak borders</t>
  </si>
  <si>
    <t>LB: this is a PC_HCOO spectrum?</t>
  </si>
  <si>
    <t>37:6_FP</t>
  </si>
  <si>
    <t>15:0/22:6_FP</t>
  </si>
  <si>
    <t>26.54398 27.18808</t>
  </si>
  <si>
    <t>LB: the spectrum at 26.5min belongs to the second isotopic peak of PE38:4; LDA: MS1 algorithm</t>
  </si>
  <si>
    <t>LB: the spectrum at 24.4min belongs to the second isotopic peak of PE38:6; LDA: chain cutoff</t>
  </si>
  <si>
    <t>LDA: retention time impossible</t>
  </si>
  <si>
    <t>LB: FP - this peak belongs to PC38:4_-CH3</t>
  </si>
  <si>
    <t>40:4_FP</t>
  </si>
  <si>
    <t>18:0/22:4_FP</t>
  </si>
  <si>
    <t>24.69607 26.06792</t>
  </si>
  <si>
    <t>LB: this spectrum at 26.1min belongs to the second isotopic peak of PE40:6, and the one at 24.7min is something different</t>
  </si>
  <si>
    <t>LB: spectra before 25min belong to the second isotopic peak of PE40:7</t>
  </si>
  <si>
    <t>34:1_FP</t>
  </si>
  <si>
    <t>16:0/18:1_FP</t>
  </si>
  <si>
    <t>LB: this peak belongs to SM16:0</t>
  </si>
  <si>
    <t>LDA: missed</t>
  </si>
  <si>
    <t>36:2_FP</t>
  </si>
  <si>
    <t>LB: retention time impossible</t>
  </si>
  <si>
    <t>LB: this is an isotopic peak of something else</t>
  </si>
  <si>
    <t>38:5_FP</t>
  </si>
  <si>
    <t>LB: spectrum consists of noise only</t>
  </si>
  <si>
    <t>NA</t>
  </si>
  <si>
    <t>Species evaluation - every adduct is counted independently</t>
  </si>
  <si>
    <t>LDA MS1 identified</t>
  </si>
  <si>
    <t>LBlast MS1 identified</t>
  </si>
  <si>
    <t>LDA MS1 PPV</t>
  </si>
  <si>
    <t>LBlast MS1 PPV</t>
  </si>
  <si>
    <t>LDA MS2 identified</t>
  </si>
  <si>
    <t>LBlast MS2 identified</t>
  </si>
  <si>
    <t>LDA MS2 PPV</t>
  </si>
  <si>
    <t>LBlast MS2 PPV</t>
  </si>
  <si>
    <t>5/6</t>
  </si>
  <si>
    <t>6/6</t>
  </si>
  <si>
    <t>5/7</t>
  </si>
  <si>
    <t>6/9</t>
  </si>
  <si>
    <t>4/5</t>
  </si>
  <si>
    <t>5/5</t>
  </si>
  <si>
    <t>4/4</t>
  </si>
  <si>
    <t>5/9</t>
  </si>
  <si>
    <t>1/2</t>
  </si>
  <si>
    <t>2/2</t>
  </si>
  <si>
    <t>1/1</t>
  </si>
  <si>
    <t>2/3</t>
  </si>
  <si>
    <t>3/3</t>
  </si>
  <si>
    <t>20/22</t>
  </si>
  <si>
    <t>22/22</t>
  </si>
  <si>
    <t>20/20</t>
  </si>
  <si>
    <t>22/35</t>
  </si>
  <si>
    <t>23/27</t>
  </si>
  <si>
    <t>26/27</t>
  </si>
  <si>
    <t>23/23</t>
  </si>
  <si>
    <t>26/46</t>
  </si>
  <si>
    <t>14/16</t>
  </si>
  <si>
    <t>15/16</t>
  </si>
  <si>
    <t>15/21</t>
  </si>
  <si>
    <t>17/20</t>
  </si>
  <si>
    <t>18/20</t>
  </si>
  <si>
    <t>18/24</t>
  </si>
  <si>
    <t>0/1</t>
  </si>
  <si>
    <t>1/9</t>
  </si>
  <si>
    <t>Total</t>
  </si>
  <si>
    <t>44/52</t>
  </si>
  <si>
    <t>41/42</t>
  </si>
  <si>
    <t>44/48</t>
  </si>
  <si>
    <t>47/58</t>
  </si>
  <si>
    <t>55/58</t>
  </si>
  <si>
    <t>11/13</t>
  </si>
  <si>
    <t>13/13</t>
  </si>
  <si>
    <t>11/11</t>
  </si>
  <si>
    <t>13/21</t>
  </si>
  <si>
    <t>13/17</t>
  </si>
  <si>
    <t>17/17</t>
  </si>
  <si>
    <t>17/32</t>
  </si>
  <si>
    <t>35/43</t>
  </si>
  <si>
    <t>42/43</t>
  </si>
  <si>
    <t>35/39</t>
  </si>
  <si>
    <t>42/67</t>
  </si>
  <si>
    <t>37/48</t>
  </si>
  <si>
    <t>46/48</t>
  </si>
  <si>
    <t>37/40</t>
  </si>
  <si>
    <t>46/79</t>
  </si>
  <si>
    <t>51/81</t>
  </si>
  <si>
    <t>47/50</t>
  </si>
  <si>
    <t>55/93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</si>
</sst>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indexed="8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FF0000"/>
      <name val="Calibri"/>
      <family val="2"/>
    </font>
    <font>
      <sz val="11"/>
      <color rgb="FFFF000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9" fontId="0" fillId="0" borderId="0" xfId="0" applyNumberFormat="1"/>
    <xf numFmtId="49" fontId="1" fillId="0" borderId="0" xfId="0" applyNumberFormat="1" applyFont="1"/>
    <xf numFmtId="0" fontId="0" fillId="0" borderId="0" xfId="0" applyAlignment="1">
      <alignment horizontal="left"/>
    </xf>
    <xf numFmtId="0" fontId="7" fillId="0" borderId="0" xfId="0" applyFont="1"/>
    <xf numFmtId="9" fontId="0" fillId="0" borderId="0" xfId="0" applyNumberFormat="1" applyAlignment="1">
      <alignment horizontal="right"/>
    </xf>
    <xf numFmtId="0" fontId="9" fillId="0" borderId="0" xfId="0" applyFont="1"/>
    <xf numFmtId="49" fontId="10" fillId="0" borderId="0" xfId="0" applyNumberFormat="1" applyFont="1" applyAlignment="1">
      <alignment horizontal="center"/>
    </xf>
    <xf numFmtId="9" fontId="10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>
      <selection activeCell="S19" sqref="S19"/>
    </sheetView>
  </sheetViews>
  <sheetFormatPr baseColWidth="10" defaultRowHeight="15" x14ac:dyDescent="0.25"/>
  <sheetData>
    <row r="1" spans="1:17" ht="18.75" x14ac:dyDescent="0.3">
      <c r="A1" s="13" t="s">
        <v>432</v>
      </c>
    </row>
    <row r="2" spans="1:17" ht="15.75" x14ac:dyDescent="0.25">
      <c r="A2" s="3"/>
    </row>
    <row r="3" spans="1:17" ht="15.75" x14ac:dyDescent="0.25">
      <c r="B3" s="21" t="s">
        <v>433</v>
      </c>
      <c r="C3" s="21"/>
      <c r="D3" s="21" t="s">
        <v>434</v>
      </c>
      <c r="E3" s="21"/>
      <c r="F3" s="21" t="s">
        <v>435</v>
      </c>
      <c r="G3" s="21"/>
      <c r="H3" s="21" t="s">
        <v>436</v>
      </c>
      <c r="I3" s="21"/>
      <c r="J3" s="21" t="s">
        <v>437</v>
      </c>
      <c r="K3" s="21"/>
      <c r="L3" s="21" t="s">
        <v>438</v>
      </c>
      <c r="M3" s="21"/>
      <c r="N3" s="21" t="s">
        <v>439</v>
      </c>
      <c r="O3" s="21"/>
      <c r="P3" s="21" t="s">
        <v>440</v>
      </c>
      <c r="Q3" s="21"/>
    </row>
    <row r="4" spans="1:17" ht="15.75" x14ac:dyDescent="0.25">
      <c r="A4" s="3" t="s">
        <v>18</v>
      </c>
      <c r="B4" s="14" t="s">
        <v>441</v>
      </c>
      <c r="C4" s="15">
        <f>5/6</f>
        <v>0.83333333333333337</v>
      </c>
      <c r="D4" s="14" t="s">
        <v>442</v>
      </c>
      <c r="E4" s="15">
        <f>6/6</f>
        <v>1</v>
      </c>
      <c r="F4" s="14" t="s">
        <v>443</v>
      </c>
      <c r="G4" s="15">
        <f>5/7</f>
        <v>0.7142857142857143</v>
      </c>
      <c r="H4" s="14" t="s">
        <v>444</v>
      </c>
      <c r="I4" s="15">
        <f>6/9</f>
        <v>0.66666666666666663</v>
      </c>
      <c r="J4" s="14" t="s">
        <v>445</v>
      </c>
      <c r="K4" s="15">
        <f>4/5</f>
        <v>0.8</v>
      </c>
      <c r="L4" s="14" t="s">
        <v>446</v>
      </c>
      <c r="M4" s="15">
        <f>5/5</f>
        <v>1</v>
      </c>
      <c r="N4" s="14" t="s">
        <v>447</v>
      </c>
      <c r="O4" s="15">
        <f>4/4</f>
        <v>1</v>
      </c>
      <c r="P4" s="14" t="s">
        <v>448</v>
      </c>
      <c r="Q4" s="15">
        <f>5/9</f>
        <v>0.55555555555555558</v>
      </c>
    </row>
    <row r="5" spans="1:17" ht="15.75" x14ac:dyDescent="0.25">
      <c r="A5" s="3" t="s">
        <v>90</v>
      </c>
      <c r="B5" s="14" t="s">
        <v>449</v>
      </c>
      <c r="C5" s="15">
        <f>1/2</f>
        <v>0.5</v>
      </c>
      <c r="D5" s="14" t="s">
        <v>450</v>
      </c>
      <c r="E5" s="15">
        <f>2/2</f>
        <v>1</v>
      </c>
      <c r="F5" s="14" t="s">
        <v>451</v>
      </c>
      <c r="G5" s="15">
        <f>1/1</f>
        <v>1</v>
      </c>
      <c r="H5" s="14" t="s">
        <v>450</v>
      </c>
      <c r="I5" s="15">
        <f>2/2</f>
        <v>1</v>
      </c>
      <c r="J5" s="14" t="s">
        <v>449</v>
      </c>
      <c r="K5" s="15">
        <f>1/2</f>
        <v>0.5</v>
      </c>
      <c r="L5" s="14" t="s">
        <v>450</v>
      </c>
      <c r="M5" s="15">
        <f>2/2</f>
        <v>1</v>
      </c>
      <c r="N5" s="14" t="s">
        <v>451</v>
      </c>
      <c r="O5" s="15">
        <f>1/1</f>
        <v>1</v>
      </c>
      <c r="P5" s="14" t="s">
        <v>450</v>
      </c>
      <c r="Q5" s="15">
        <f>2/2</f>
        <v>1</v>
      </c>
    </row>
    <row r="6" spans="1:17" ht="15.75" x14ac:dyDescent="0.25">
      <c r="A6" s="3" t="s">
        <v>98</v>
      </c>
      <c r="B6" s="14" t="s">
        <v>451</v>
      </c>
      <c r="C6" s="15">
        <f>1/1</f>
        <v>1</v>
      </c>
      <c r="D6" s="14" t="s">
        <v>451</v>
      </c>
      <c r="E6" s="15">
        <f>1/1</f>
        <v>1</v>
      </c>
      <c r="F6" s="14" t="s">
        <v>451</v>
      </c>
      <c r="G6" s="15">
        <f>1/1</f>
        <v>1</v>
      </c>
      <c r="H6" s="14" t="s">
        <v>451</v>
      </c>
      <c r="I6" s="15">
        <f>1/1</f>
        <v>1</v>
      </c>
      <c r="J6" s="14" t="s">
        <v>431</v>
      </c>
      <c r="K6" s="14" t="s">
        <v>431</v>
      </c>
      <c r="L6" s="14" t="s">
        <v>431</v>
      </c>
      <c r="M6" s="14" t="s">
        <v>431</v>
      </c>
      <c r="N6" s="14" t="s">
        <v>431</v>
      </c>
      <c r="O6" s="14" t="s">
        <v>431</v>
      </c>
      <c r="P6" s="14" t="s">
        <v>431</v>
      </c>
      <c r="Q6" s="14" t="s">
        <v>431</v>
      </c>
    </row>
    <row r="7" spans="1:17" ht="15.75" x14ac:dyDescent="0.25">
      <c r="A7" s="3" t="s">
        <v>103</v>
      </c>
      <c r="B7" s="14" t="s">
        <v>452</v>
      </c>
      <c r="C7" s="15">
        <f>2/3</f>
        <v>0.66666666666666663</v>
      </c>
      <c r="D7" s="14" t="s">
        <v>453</v>
      </c>
      <c r="E7" s="15">
        <f>3/3</f>
        <v>1</v>
      </c>
      <c r="F7" s="14" t="s">
        <v>450</v>
      </c>
      <c r="G7" s="15">
        <f>2/2</f>
        <v>1</v>
      </c>
      <c r="H7" s="14" t="s">
        <v>453</v>
      </c>
      <c r="I7" s="15">
        <f>3/3</f>
        <v>1</v>
      </c>
      <c r="J7" s="14" t="s">
        <v>452</v>
      </c>
      <c r="K7" s="15">
        <f>2/3</f>
        <v>0.66666666666666663</v>
      </c>
      <c r="L7" s="14" t="s">
        <v>453</v>
      </c>
      <c r="M7" s="15">
        <f>3/3</f>
        <v>1</v>
      </c>
      <c r="N7" s="14" t="s">
        <v>450</v>
      </c>
      <c r="O7" s="15">
        <f>2/2</f>
        <v>1</v>
      </c>
      <c r="P7" s="14" t="s">
        <v>453</v>
      </c>
      <c r="Q7" s="15">
        <f>3/3</f>
        <v>1</v>
      </c>
    </row>
    <row r="8" spans="1:17" ht="15.75" x14ac:dyDescent="0.25">
      <c r="A8" s="3" t="s">
        <v>117</v>
      </c>
      <c r="B8" s="14" t="s">
        <v>454</v>
      </c>
      <c r="C8" s="15">
        <f>20/22</f>
        <v>0.90909090909090906</v>
      </c>
      <c r="D8" s="14" t="s">
        <v>455</v>
      </c>
      <c r="E8" s="15">
        <f>22/22</f>
        <v>1</v>
      </c>
      <c r="F8" s="14" t="s">
        <v>456</v>
      </c>
      <c r="G8" s="15">
        <f>20/20</f>
        <v>1</v>
      </c>
      <c r="H8" s="14" t="s">
        <v>457</v>
      </c>
      <c r="I8" s="15">
        <f>22/35</f>
        <v>0.62857142857142856</v>
      </c>
      <c r="J8" s="14" t="s">
        <v>458</v>
      </c>
      <c r="K8" s="15">
        <f>23/27</f>
        <v>0.85185185185185186</v>
      </c>
      <c r="L8" s="14" t="s">
        <v>459</v>
      </c>
      <c r="M8" s="15">
        <f>26/27</f>
        <v>0.96296296296296291</v>
      </c>
      <c r="N8" s="14" t="s">
        <v>460</v>
      </c>
      <c r="O8" s="15">
        <f>23/23</f>
        <v>1</v>
      </c>
      <c r="P8" s="14" t="s">
        <v>461</v>
      </c>
      <c r="Q8" s="15">
        <f>26/46</f>
        <v>0.56521739130434778</v>
      </c>
    </row>
    <row r="9" spans="1:17" ht="15.75" x14ac:dyDescent="0.25">
      <c r="A9" s="3" t="s">
        <v>283</v>
      </c>
      <c r="B9" s="14" t="s">
        <v>462</v>
      </c>
      <c r="C9" s="15">
        <f>14/16</f>
        <v>0.875</v>
      </c>
      <c r="D9" s="14" t="s">
        <v>463</v>
      </c>
      <c r="E9" s="15">
        <f>15/16</f>
        <v>0.9375</v>
      </c>
      <c r="F9" s="14" t="s">
        <v>462</v>
      </c>
      <c r="G9" s="15">
        <f>14/16</f>
        <v>0.875</v>
      </c>
      <c r="H9" s="14" t="s">
        <v>464</v>
      </c>
      <c r="I9" s="15">
        <f>15/21</f>
        <v>0.7142857142857143</v>
      </c>
      <c r="J9" s="14" t="s">
        <v>465</v>
      </c>
      <c r="K9" s="15">
        <f>17/20</f>
        <v>0.85</v>
      </c>
      <c r="L9" s="14" t="s">
        <v>466</v>
      </c>
      <c r="M9" s="15">
        <f>18/20</f>
        <v>0.9</v>
      </c>
      <c r="N9" s="14" t="s">
        <v>465</v>
      </c>
      <c r="O9" s="15">
        <f>17/20</f>
        <v>0.85</v>
      </c>
      <c r="P9" s="14" t="s">
        <v>467</v>
      </c>
      <c r="Q9" s="15">
        <f>18/24</f>
        <v>0.75</v>
      </c>
    </row>
    <row r="10" spans="1:17" ht="15.75" x14ac:dyDescent="0.25">
      <c r="A10" s="3" t="s">
        <v>348</v>
      </c>
      <c r="B10" s="14" t="s">
        <v>468</v>
      </c>
      <c r="C10" s="15">
        <f>0/1</f>
        <v>0</v>
      </c>
      <c r="D10" s="14" t="s">
        <v>451</v>
      </c>
      <c r="E10" s="15">
        <f>1/1</f>
        <v>1</v>
      </c>
      <c r="F10" s="14" t="s">
        <v>431</v>
      </c>
      <c r="G10" s="14" t="s">
        <v>431</v>
      </c>
      <c r="H10" s="14" t="s">
        <v>469</v>
      </c>
      <c r="I10" s="15">
        <f>1/9</f>
        <v>0.1111111111111111</v>
      </c>
      <c r="J10" s="14" t="s">
        <v>468</v>
      </c>
      <c r="K10" s="15">
        <f>0/1</f>
        <v>0</v>
      </c>
      <c r="L10" s="14" t="s">
        <v>451</v>
      </c>
      <c r="M10" s="15">
        <f>1/1</f>
        <v>1</v>
      </c>
      <c r="N10" s="14" t="s">
        <v>431</v>
      </c>
      <c r="O10" s="14" t="s">
        <v>431</v>
      </c>
      <c r="P10" s="14" t="s">
        <v>469</v>
      </c>
      <c r="Q10" s="15">
        <f>1/9</f>
        <v>0.1111111111111111</v>
      </c>
    </row>
    <row r="11" spans="1:17" ht="15.75" x14ac:dyDescent="0.25">
      <c r="A11" s="3" t="s">
        <v>374</v>
      </c>
      <c r="B11" s="14" t="s">
        <v>451</v>
      </c>
      <c r="C11" s="15">
        <f>1/1</f>
        <v>1</v>
      </c>
      <c r="D11" s="14" t="s">
        <v>451</v>
      </c>
      <c r="E11" s="15">
        <f>1/1</f>
        <v>1</v>
      </c>
      <c r="F11" s="14" t="s">
        <v>451</v>
      </c>
      <c r="G11" s="15">
        <f>1/1</f>
        <v>1</v>
      </c>
      <c r="H11" s="14" t="s">
        <v>451</v>
      </c>
      <c r="I11" s="15">
        <f>1/1</f>
        <v>1</v>
      </c>
      <c r="J11" s="14" t="s">
        <v>431</v>
      </c>
      <c r="K11" s="14" t="s">
        <v>431</v>
      </c>
      <c r="L11" s="14" t="s">
        <v>431</v>
      </c>
      <c r="M11" s="14" t="s">
        <v>431</v>
      </c>
      <c r="N11" s="14" t="s">
        <v>431</v>
      </c>
      <c r="O11" s="14" t="s">
        <v>431</v>
      </c>
      <c r="P11" s="14" t="s">
        <v>431</v>
      </c>
      <c r="Q11" s="14" t="s">
        <v>431</v>
      </c>
    </row>
    <row r="12" spans="1:17" x14ac:dyDescent="0.25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6"/>
      <c r="Q12" s="17"/>
    </row>
    <row r="13" spans="1:17" ht="15.75" x14ac:dyDescent="0.25">
      <c r="A13" s="3" t="s">
        <v>470</v>
      </c>
      <c r="B13" s="14" t="s">
        <v>471</v>
      </c>
      <c r="C13" s="15">
        <f>44/52</f>
        <v>0.84615384615384615</v>
      </c>
      <c r="D13" s="14" t="s">
        <v>472</v>
      </c>
      <c r="E13" s="15">
        <f>41/42</f>
        <v>0.97619047619047616</v>
      </c>
      <c r="F13" s="14" t="s">
        <v>473</v>
      </c>
      <c r="G13" s="15">
        <f>44/48</f>
        <v>0.91666666666666663</v>
      </c>
      <c r="H13" s="14" t="s">
        <v>491</v>
      </c>
      <c r="I13" s="15">
        <f>51/81</f>
        <v>0.62962962962962965</v>
      </c>
      <c r="J13" s="14" t="s">
        <v>474</v>
      </c>
      <c r="K13" s="15">
        <f>47/58</f>
        <v>0.81034482758620685</v>
      </c>
      <c r="L13" s="14" t="s">
        <v>475</v>
      </c>
      <c r="M13" s="15">
        <f>55/58</f>
        <v>0.94827586206896552</v>
      </c>
      <c r="N13" s="14" t="s">
        <v>492</v>
      </c>
      <c r="O13" s="15">
        <f>47/50</f>
        <v>0.94</v>
      </c>
      <c r="P13" s="14" t="s">
        <v>493</v>
      </c>
      <c r="Q13" s="15">
        <f>55/93</f>
        <v>0.59139784946236562</v>
      </c>
    </row>
    <row r="14" spans="1:17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9"/>
      <c r="Q14" s="18"/>
    </row>
    <row r="15" spans="1:17" x14ac:dyDescent="0.25">
      <c r="P15" s="19"/>
      <c r="Q15" s="18"/>
    </row>
    <row r="16" spans="1:17" x14ac:dyDescent="0.25">
      <c r="P16" s="19"/>
      <c r="Q16" s="18"/>
    </row>
    <row r="17" spans="1:17" x14ac:dyDescent="0.25">
      <c r="P17" s="19"/>
      <c r="Q17" s="18"/>
    </row>
    <row r="18" spans="1:17" ht="18.75" x14ac:dyDescent="0.3">
      <c r="A18" s="13" t="s">
        <v>61</v>
      </c>
      <c r="P18" s="19"/>
      <c r="Q18" s="18"/>
    </row>
    <row r="19" spans="1:17" x14ac:dyDescent="0.25">
      <c r="P19" s="20"/>
    </row>
    <row r="20" spans="1:17" ht="15.75" x14ac:dyDescent="0.25">
      <c r="B20" s="21" t="s">
        <v>433</v>
      </c>
      <c r="C20" s="21"/>
      <c r="D20" s="21" t="s">
        <v>434</v>
      </c>
      <c r="E20" s="21"/>
      <c r="F20" s="21" t="s">
        <v>435</v>
      </c>
      <c r="G20" s="21"/>
      <c r="H20" s="21" t="s">
        <v>436</v>
      </c>
      <c r="I20" s="21"/>
      <c r="J20" s="21" t="s">
        <v>437</v>
      </c>
      <c r="K20" s="21"/>
      <c r="L20" s="21" t="s">
        <v>438</v>
      </c>
      <c r="M20" s="21"/>
      <c r="N20" s="21" t="s">
        <v>439</v>
      </c>
      <c r="O20" s="21"/>
      <c r="P20" s="21" t="s">
        <v>440</v>
      </c>
      <c r="Q20" s="21"/>
    </row>
    <row r="21" spans="1:17" ht="15.75" x14ac:dyDescent="0.25">
      <c r="A21" s="3" t="s">
        <v>18</v>
      </c>
      <c r="B21" s="14" t="s">
        <v>441</v>
      </c>
      <c r="C21" s="15">
        <f>5/6</f>
        <v>0.83333333333333337</v>
      </c>
      <c r="D21" s="14" t="s">
        <v>442</v>
      </c>
      <c r="E21" s="15">
        <f>6/6</f>
        <v>1</v>
      </c>
      <c r="F21" s="14" t="s">
        <v>443</v>
      </c>
      <c r="G21" s="15">
        <f>5/7</f>
        <v>0.7142857142857143</v>
      </c>
      <c r="H21" s="14" t="s">
        <v>444</v>
      </c>
      <c r="I21" s="15">
        <f>6/9</f>
        <v>0.66666666666666663</v>
      </c>
      <c r="J21" s="14" t="s">
        <v>445</v>
      </c>
      <c r="K21" s="15">
        <f>4/5</f>
        <v>0.8</v>
      </c>
      <c r="L21" s="14" t="s">
        <v>446</v>
      </c>
      <c r="M21" s="15">
        <f>5/5</f>
        <v>1</v>
      </c>
      <c r="N21" s="14" t="s">
        <v>447</v>
      </c>
      <c r="O21" s="15">
        <f>4/4</f>
        <v>1</v>
      </c>
      <c r="P21" s="14" t="s">
        <v>448</v>
      </c>
      <c r="Q21" s="15">
        <f>5/9</f>
        <v>0.55555555555555558</v>
      </c>
    </row>
    <row r="22" spans="1:17" ht="15.75" x14ac:dyDescent="0.25">
      <c r="A22" s="3" t="s">
        <v>90</v>
      </c>
      <c r="B22" s="14" t="s">
        <v>449</v>
      </c>
      <c r="C22" s="15">
        <f>1/2</f>
        <v>0.5</v>
      </c>
      <c r="D22" s="14" t="s">
        <v>450</v>
      </c>
      <c r="E22" s="15">
        <f>2/2</f>
        <v>1</v>
      </c>
      <c r="F22" s="14" t="s">
        <v>451</v>
      </c>
      <c r="G22" s="15">
        <f>1/1</f>
        <v>1</v>
      </c>
      <c r="H22" s="14" t="s">
        <v>450</v>
      </c>
      <c r="I22" s="15">
        <f>2/2</f>
        <v>1</v>
      </c>
      <c r="J22" s="14" t="s">
        <v>449</v>
      </c>
      <c r="K22" s="15">
        <f>1/2</f>
        <v>0.5</v>
      </c>
      <c r="L22" s="14" t="s">
        <v>450</v>
      </c>
      <c r="M22" s="15">
        <f>2/2</f>
        <v>1</v>
      </c>
      <c r="N22" s="14" t="s">
        <v>451</v>
      </c>
      <c r="O22" s="15">
        <f>1/1</f>
        <v>1</v>
      </c>
      <c r="P22" s="14" t="s">
        <v>450</v>
      </c>
      <c r="Q22" s="15">
        <f>2/2</f>
        <v>1</v>
      </c>
    </row>
    <row r="23" spans="1:17" ht="15.75" x14ac:dyDescent="0.25">
      <c r="A23" s="3" t="s">
        <v>98</v>
      </c>
      <c r="B23" s="14" t="s">
        <v>451</v>
      </c>
      <c r="C23" s="15">
        <f>1/1</f>
        <v>1</v>
      </c>
      <c r="D23" s="14" t="s">
        <v>451</v>
      </c>
      <c r="E23" s="15">
        <f>1/1</f>
        <v>1</v>
      </c>
      <c r="F23" s="14" t="s">
        <v>451</v>
      </c>
      <c r="G23" s="15">
        <f>1/1</f>
        <v>1</v>
      </c>
      <c r="H23" s="14" t="s">
        <v>451</v>
      </c>
      <c r="I23" s="15">
        <f>1/1</f>
        <v>1</v>
      </c>
      <c r="J23" s="14" t="s">
        <v>431</v>
      </c>
      <c r="K23" s="14" t="s">
        <v>431</v>
      </c>
      <c r="L23" s="14" t="s">
        <v>431</v>
      </c>
      <c r="M23" s="14" t="s">
        <v>431</v>
      </c>
      <c r="N23" s="14" t="s">
        <v>431</v>
      </c>
      <c r="O23" s="14" t="s">
        <v>431</v>
      </c>
      <c r="P23" s="14" t="s">
        <v>431</v>
      </c>
      <c r="Q23" s="14" t="s">
        <v>431</v>
      </c>
    </row>
    <row r="24" spans="1:17" ht="15.75" x14ac:dyDescent="0.25">
      <c r="A24" s="3" t="s">
        <v>103</v>
      </c>
      <c r="B24" s="14" t="s">
        <v>452</v>
      </c>
      <c r="C24" s="15">
        <f>2/3</f>
        <v>0.66666666666666663</v>
      </c>
      <c r="D24" s="14" t="s">
        <v>453</v>
      </c>
      <c r="E24" s="15">
        <f>3/3</f>
        <v>1</v>
      </c>
      <c r="F24" s="14" t="s">
        <v>450</v>
      </c>
      <c r="G24" s="15">
        <f>2/2</f>
        <v>1</v>
      </c>
      <c r="H24" s="14" t="s">
        <v>453</v>
      </c>
      <c r="I24" s="15">
        <f>3/3</f>
        <v>1</v>
      </c>
      <c r="J24" s="14" t="s">
        <v>452</v>
      </c>
      <c r="K24" s="15">
        <f>2/3</f>
        <v>0.66666666666666663</v>
      </c>
      <c r="L24" s="14" t="s">
        <v>453</v>
      </c>
      <c r="M24" s="15">
        <f>3/3</f>
        <v>1</v>
      </c>
      <c r="N24" s="14" t="s">
        <v>450</v>
      </c>
      <c r="O24" s="15">
        <f>2/2</f>
        <v>1</v>
      </c>
      <c r="P24" s="14" t="s">
        <v>453</v>
      </c>
      <c r="Q24" s="15">
        <f>3/3</f>
        <v>1</v>
      </c>
    </row>
    <row r="25" spans="1:17" ht="15.75" x14ac:dyDescent="0.25">
      <c r="A25" s="3" t="s">
        <v>117</v>
      </c>
      <c r="B25" s="14" t="s">
        <v>476</v>
      </c>
      <c r="C25" s="15">
        <f>11/13</f>
        <v>0.84615384615384615</v>
      </c>
      <c r="D25" s="14" t="s">
        <v>477</v>
      </c>
      <c r="E25" s="15">
        <f>13/13</f>
        <v>1</v>
      </c>
      <c r="F25" s="14" t="s">
        <v>478</v>
      </c>
      <c r="G25" s="15">
        <f>11/11</f>
        <v>1</v>
      </c>
      <c r="H25" s="14" t="s">
        <v>479</v>
      </c>
      <c r="I25" s="15">
        <f>13/21</f>
        <v>0.61904761904761907</v>
      </c>
      <c r="J25" s="14" t="s">
        <v>480</v>
      </c>
      <c r="K25" s="15">
        <f>13/17</f>
        <v>0.76470588235294112</v>
      </c>
      <c r="L25" s="14" t="s">
        <v>481</v>
      </c>
      <c r="M25" s="15">
        <f>17/17</f>
        <v>1</v>
      </c>
      <c r="N25" s="14" t="s">
        <v>477</v>
      </c>
      <c r="O25" s="15">
        <f>13/13</f>
        <v>1</v>
      </c>
      <c r="P25" s="14" t="s">
        <v>482</v>
      </c>
      <c r="Q25" s="15">
        <f>17/32</f>
        <v>0.53125</v>
      </c>
    </row>
    <row r="26" spans="1:17" ht="15.75" x14ac:dyDescent="0.25">
      <c r="A26" s="3" t="s">
        <v>283</v>
      </c>
      <c r="B26" s="14" t="s">
        <v>462</v>
      </c>
      <c r="C26" s="15">
        <f>14/16</f>
        <v>0.875</v>
      </c>
      <c r="D26" s="14" t="s">
        <v>463</v>
      </c>
      <c r="E26" s="15">
        <f>15/16</f>
        <v>0.9375</v>
      </c>
      <c r="F26" s="14" t="s">
        <v>462</v>
      </c>
      <c r="G26" s="15">
        <f>14/16</f>
        <v>0.875</v>
      </c>
      <c r="H26" s="14" t="s">
        <v>464</v>
      </c>
      <c r="I26" s="15">
        <f>15/21</f>
        <v>0.7142857142857143</v>
      </c>
      <c r="J26" s="14" t="s">
        <v>465</v>
      </c>
      <c r="K26" s="15">
        <f>17/20</f>
        <v>0.85</v>
      </c>
      <c r="L26" s="14" t="s">
        <v>466</v>
      </c>
      <c r="M26" s="15">
        <f>18/20</f>
        <v>0.9</v>
      </c>
      <c r="N26" s="14" t="s">
        <v>465</v>
      </c>
      <c r="O26" s="15">
        <f>17/20</f>
        <v>0.85</v>
      </c>
      <c r="P26" s="14" t="s">
        <v>467</v>
      </c>
      <c r="Q26" s="15">
        <f>18/24</f>
        <v>0.75</v>
      </c>
    </row>
    <row r="27" spans="1:17" ht="15.75" x14ac:dyDescent="0.25">
      <c r="A27" s="3" t="s">
        <v>348</v>
      </c>
      <c r="B27" s="14" t="s">
        <v>468</v>
      </c>
      <c r="C27" s="15">
        <f>0/1</f>
        <v>0</v>
      </c>
      <c r="D27" s="14" t="s">
        <v>451</v>
      </c>
      <c r="E27" s="15">
        <f>1/1</f>
        <v>1</v>
      </c>
      <c r="F27" s="14" t="s">
        <v>431</v>
      </c>
      <c r="G27" s="14" t="s">
        <v>431</v>
      </c>
      <c r="H27" s="14" t="s">
        <v>469</v>
      </c>
      <c r="I27" s="15">
        <f>1/9</f>
        <v>0.1111111111111111</v>
      </c>
      <c r="J27" s="14" t="s">
        <v>468</v>
      </c>
      <c r="K27" s="15">
        <f>0/1</f>
        <v>0</v>
      </c>
      <c r="L27" s="14" t="s">
        <v>451</v>
      </c>
      <c r="M27" s="15">
        <f>1/1</f>
        <v>1</v>
      </c>
      <c r="N27" s="14" t="s">
        <v>431</v>
      </c>
      <c r="O27" s="14" t="s">
        <v>431</v>
      </c>
      <c r="P27" s="14" t="s">
        <v>469</v>
      </c>
      <c r="Q27" s="15">
        <f>1/9</f>
        <v>0.1111111111111111</v>
      </c>
    </row>
    <row r="28" spans="1:17" ht="15.75" x14ac:dyDescent="0.25">
      <c r="A28" s="3" t="s">
        <v>374</v>
      </c>
      <c r="B28" s="14" t="s">
        <v>451</v>
      </c>
      <c r="C28" s="15">
        <f>1/1</f>
        <v>1</v>
      </c>
      <c r="D28" s="14" t="s">
        <v>451</v>
      </c>
      <c r="E28" s="15">
        <f>1/1</f>
        <v>1</v>
      </c>
      <c r="F28" s="14" t="s">
        <v>451</v>
      </c>
      <c r="G28" s="15">
        <f>1/1</f>
        <v>1</v>
      </c>
      <c r="H28" s="14" t="s">
        <v>451</v>
      </c>
      <c r="I28" s="15">
        <f>1/1</f>
        <v>1</v>
      </c>
      <c r="J28" s="14" t="s">
        <v>431</v>
      </c>
      <c r="K28" s="14" t="s">
        <v>431</v>
      </c>
      <c r="L28" s="14" t="s">
        <v>431</v>
      </c>
      <c r="M28" s="14" t="s">
        <v>431</v>
      </c>
      <c r="N28" s="14" t="s">
        <v>431</v>
      </c>
      <c r="O28" s="14" t="s">
        <v>431</v>
      </c>
      <c r="P28" s="14" t="s">
        <v>431</v>
      </c>
      <c r="Q28" s="14" t="s">
        <v>431</v>
      </c>
    </row>
    <row r="29" spans="1:17" x14ac:dyDescent="0.25"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6"/>
      <c r="Q29" s="17"/>
    </row>
    <row r="30" spans="1:17" ht="15.75" x14ac:dyDescent="0.25">
      <c r="A30" s="3" t="s">
        <v>470</v>
      </c>
      <c r="B30" s="14" t="s">
        <v>483</v>
      </c>
      <c r="C30" s="15">
        <f>35/43</f>
        <v>0.81395348837209303</v>
      </c>
      <c r="D30" s="14" t="s">
        <v>484</v>
      </c>
      <c r="E30" s="15">
        <f>42/43</f>
        <v>0.97674418604651159</v>
      </c>
      <c r="F30" s="14" t="s">
        <v>485</v>
      </c>
      <c r="G30" s="15">
        <f>35/39</f>
        <v>0.89743589743589747</v>
      </c>
      <c r="H30" s="14" t="s">
        <v>486</v>
      </c>
      <c r="I30" s="15">
        <f>42/67</f>
        <v>0.62686567164179108</v>
      </c>
      <c r="J30" s="14" t="s">
        <v>487</v>
      </c>
      <c r="K30" s="15">
        <f>37/48</f>
        <v>0.77083333333333337</v>
      </c>
      <c r="L30" s="14" t="s">
        <v>488</v>
      </c>
      <c r="M30" s="15">
        <f>46/48</f>
        <v>0.95833333333333337</v>
      </c>
      <c r="N30" s="14" t="s">
        <v>489</v>
      </c>
      <c r="O30" s="15">
        <f>37/40</f>
        <v>0.92500000000000004</v>
      </c>
      <c r="P30" s="14" t="s">
        <v>490</v>
      </c>
      <c r="Q30" s="15">
        <f>46/79</f>
        <v>0.58227848101265822</v>
      </c>
    </row>
  </sheetData>
  <mergeCells count="16">
    <mergeCell ref="N3:O3"/>
    <mergeCell ref="P3:Q3"/>
    <mergeCell ref="B20:C20"/>
    <mergeCell ref="D20:E20"/>
    <mergeCell ref="F20:G20"/>
    <mergeCell ref="H20:I20"/>
    <mergeCell ref="J20:K20"/>
    <mergeCell ref="L20:M20"/>
    <mergeCell ref="N20:O20"/>
    <mergeCell ref="P20:Q20"/>
    <mergeCell ref="B3:C3"/>
    <mergeCell ref="D3:E3"/>
    <mergeCell ref="F3:G3"/>
    <mergeCell ref="H3:I3"/>
    <mergeCell ref="J3:K3"/>
    <mergeCell ref="L3:M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"/>
  <sheetViews>
    <sheetView topLeftCell="A4" workbookViewId="0"/>
  </sheetViews>
  <sheetFormatPr baseColWidth="10"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18</v>
      </c>
      <c r="B2" s="5" t="s">
        <v>19</v>
      </c>
      <c r="C2" t="s">
        <v>20</v>
      </c>
      <c r="D2" s="5" t="s">
        <v>21</v>
      </c>
      <c r="E2" t="s">
        <v>22</v>
      </c>
      <c r="F2" s="5">
        <v>-2</v>
      </c>
      <c r="G2">
        <v>0</v>
      </c>
      <c r="M2" t="s">
        <v>17</v>
      </c>
      <c r="N2" t="s">
        <v>17</v>
      </c>
      <c r="O2" t="s">
        <v>17</v>
      </c>
      <c r="Q2" t="s">
        <v>379</v>
      </c>
    </row>
    <row r="3" spans="1:21" x14ac:dyDescent="0.25">
      <c r="A3" t="s">
        <v>18</v>
      </c>
      <c r="B3" s="5" t="s">
        <v>23</v>
      </c>
      <c r="C3" t="s">
        <v>20</v>
      </c>
      <c r="D3" s="5" t="s">
        <v>24</v>
      </c>
      <c r="E3" t="s">
        <v>22</v>
      </c>
      <c r="F3" s="5">
        <v>-2</v>
      </c>
      <c r="G3">
        <v>0</v>
      </c>
      <c r="M3" t="s">
        <v>17</v>
      </c>
      <c r="N3" t="s">
        <v>17</v>
      </c>
      <c r="O3" t="s">
        <v>17</v>
      </c>
      <c r="Q3" t="s">
        <v>379</v>
      </c>
    </row>
    <row r="4" spans="1:21" x14ac:dyDescent="0.25">
      <c r="A4" t="s">
        <v>18</v>
      </c>
      <c r="B4" s="1" t="s">
        <v>25</v>
      </c>
      <c r="C4" t="s">
        <v>20</v>
      </c>
      <c r="D4" s="1" t="s">
        <v>25</v>
      </c>
      <c r="E4" s="1" t="s">
        <v>25</v>
      </c>
      <c r="F4" s="1">
        <v>2</v>
      </c>
      <c r="G4" s="1">
        <v>2</v>
      </c>
      <c r="H4" s="5" t="s">
        <v>26</v>
      </c>
      <c r="I4" t="s">
        <v>22</v>
      </c>
      <c r="J4" s="5" t="s">
        <v>27</v>
      </c>
      <c r="K4">
        <v>0</v>
      </c>
      <c r="L4" s="5">
        <v>-2</v>
      </c>
      <c r="M4" t="s">
        <v>17</v>
      </c>
      <c r="N4" t="s">
        <v>17</v>
      </c>
      <c r="O4" t="s">
        <v>28</v>
      </c>
      <c r="P4">
        <v>100</v>
      </c>
      <c r="Q4" t="s">
        <v>380</v>
      </c>
    </row>
    <row r="5" spans="1:21" x14ac:dyDescent="0.25">
      <c r="A5" t="s">
        <v>18</v>
      </c>
      <c r="B5" s="5" t="s">
        <v>29</v>
      </c>
      <c r="C5" t="s">
        <v>20</v>
      </c>
      <c r="D5" t="s">
        <v>22</v>
      </c>
      <c r="E5" s="5" t="s">
        <v>30</v>
      </c>
      <c r="F5">
        <v>0</v>
      </c>
      <c r="G5" s="5">
        <v>-2</v>
      </c>
      <c r="H5" s="5" t="s">
        <v>31</v>
      </c>
      <c r="I5" t="s">
        <v>22</v>
      </c>
      <c r="J5" s="5" t="s">
        <v>32</v>
      </c>
      <c r="K5">
        <v>0</v>
      </c>
      <c r="L5" s="5">
        <v>-2</v>
      </c>
      <c r="M5" t="s">
        <v>17</v>
      </c>
      <c r="N5" t="s">
        <v>17</v>
      </c>
      <c r="O5" t="s">
        <v>33</v>
      </c>
      <c r="P5">
        <v>100</v>
      </c>
      <c r="Q5" t="s">
        <v>381</v>
      </c>
    </row>
    <row r="6" spans="1:21" x14ac:dyDescent="0.25">
      <c r="A6" t="s">
        <v>18</v>
      </c>
      <c r="B6" s="5" t="s">
        <v>382</v>
      </c>
      <c r="C6" t="s">
        <v>20</v>
      </c>
      <c r="D6" t="s">
        <v>22</v>
      </c>
      <c r="E6" s="5" t="s">
        <v>34</v>
      </c>
      <c r="F6">
        <v>0</v>
      </c>
      <c r="G6" s="5">
        <v>-2</v>
      </c>
      <c r="H6" s="5" t="s">
        <v>355</v>
      </c>
      <c r="I6" t="s">
        <v>22</v>
      </c>
      <c r="J6" s="5" t="s">
        <v>35</v>
      </c>
      <c r="K6">
        <v>0</v>
      </c>
      <c r="L6" s="5">
        <v>-2</v>
      </c>
      <c r="M6" t="s">
        <v>36</v>
      </c>
      <c r="N6" t="s">
        <v>17</v>
      </c>
      <c r="O6" t="s">
        <v>37</v>
      </c>
      <c r="P6">
        <v>1</v>
      </c>
      <c r="Q6" t="s">
        <v>383</v>
      </c>
    </row>
    <row r="7" spans="1:21" x14ac:dyDescent="0.25">
      <c r="A7" t="s">
        <v>18</v>
      </c>
      <c r="B7" s="1" t="s">
        <v>38</v>
      </c>
      <c r="C7" t="s">
        <v>20</v>
      </c>
      <c r="D7" s="1" t="s">
        <v>38</v>
      </c>
      <c r="E7" s="1" t="s">
        <v>38</v>
      </c>
      <c r="F7" s="1">
        <v>2</v>
      </c>
      <c r="G7" s="1">
        <v>2</v>
      </c>
      <c r="H7" s="1" t="s">
        <v>39</v>
      </c>
      <c r="I7" s="1" t="s">
        <v>39</v>
      </c>
      <c r="J7" s="1" t="s">
        <v>39</v>
      </c>
      <c r="K7" s="1">
        <v>2</v>
      </c>
      <c r="L7" s="1">
        <v>2</v>
      </c>
      <c r="M7" t="s">
        <v>40</v>
      </c>
      <c r="N7" t="s">
        <v>41</v>
      </c>
      <c r="O7" t="s">
        <v>42</v>
      </c>
      <c r="P7">
        <v>15.6</v>
      </c>
    </row>
    <row r="8" spans="1:21" x14ac:dyDescent="0.25">
      <c r="A8" t="s">
        <v>18</v>
      </c>
      <c r="B8" s="1" t="s">
        <v>43</v>
      </c>
      <c r="C8" t="s">
        <v>20</v>
      </c>
      <c r="D8" s="1" t="s">
        <v>43</v>
      </c>
      <c r="E8" s="1" t="s">
        <v>43</v>
      </c>
      <c r="F8" s="1">
        <v>2</v>
      </c>
      <c r="G8" s="1">
        <v>2</v>
      </c>
      <c r="H8" s="1" t="s">
        <v>44</v>
      </c>
      <c r="I8" s="1" t="s">
        <v>44</v>
      </c>
      <c r="J8" s="1" t="s">
        <v>44</v>
      </c>
      <c r="K8" s="1">
        <v>2</v>
      </c>
      <c r="L8" s="1">
        <v>2</v>
      </c>
      <c r="M8" t="s">
        <v>45</v>
      </c>
      <c r="N8" t="s">
        <v>46</v>
      </c>
      <c r="O8" t="s">
        <v>47</v>
      </c>
      <c r="P8">
        <v>16.5</v>
      </c>
    </row>
    <row r="9" spans="1:21" x14ac:dyDescent="0.25">
      <c r="A9" t="s">
        <v>18</v>
      </c>
      <c r="B9" s="9" t="s">
        <v>48</v>
      </c>
      <c r="C9" t="s">
        <v>20</v>
      </c>
      <c r="D9" s="5" t="s">
        <v>22</v>
      </c>
      <c r="E9" s="1" t="s">
        <v>48</v>
      </c>
      <c r="F9" s="5">
        <v>-1</v>
      </c>
      <c r="G9" s="6">
        <v>1</v>
      </c>
      <c r="H9" s="1" t="s">
        <v>225</v>
      </c>
      <c r="I9" s="5" t="s">
        <v>22</v>
      </c>
      <c r="J9" s="1" t="s">
        <v>49</v>
      </c>
      <c r="K9" s="5">
        <v>-1</v>
      </c>
      <c r="L9" s="6">
        <v>1</v>
      </c>
      <c r="M9" t="s">
        <v>17</v>
      </c>
      <c r="N9" t="s">
        <v>17</v>
      </c>
      <c r="O9" t="s">
        <v>384</v>
      </c>
      <c r="P9">
        <v>24.9</v>
      </c>
      <c r="Q9" t="s">
        <v>385</v>
      </c>
    </row>
    <row r="10" spans="1:21" x14ac:dyDescent="0.25">
      <c r="A10" t="s">
        <v>18</v>
      </c>
      <c r="B10" s="1" t="s">
        <v>50</v>
      </c>
      <c r="C10" t="s">
        <v>20</v>
      </c>
      <c r="D10" s="1" t="s">
        <v>50</v>
      </c>
      <c r="E10" s="1" t="s">
        <v>50</v>
      </c>
      <c r="F10" s="1">
        <v>2</v>
      </c>
      <c r="G10" s="1">
        <v>2</v>
      </c>
      <c r="H10" s="1" t="s">
        <v>51</v>
      </c>
      <c r="I10" s="1" t="s">
        <v>51</v>
      </c>
      <c r="J10" s="1" t="s">
        <v>51</v>
      </c>
      <c r="K10" s="1">
        <v>2</v>
      </c>
      <c r="L10" s="1">
        <v>2</v>
      </c>
      <c r="M10" t="s">
        <v>52</v>
      </c>
      <c r="N10" t="s">
        <v>53</v>
      </c>
      <c r="O10" t="s">
        <v>54</v>
      </c>
      <c r="P10">
        <v>16.7</v>
      </c>
    </row>
    <row r="11" spans="1:21" x14ac:dyDescent="0.25">
      <c r="A11" t="s">
        <v>18</v>
      </c>
      <c r="B11" s="1" t="s">
        <v>55</v>
      </c>
      <c r="C11" t="s">
        <v>20</v>
      </c>
      <c r="D11" s="1" t="s">
        <v>55</v>
      </c>
      <c r="E11" s="1" t="s">
        <v>55</v>
      </c>
      <c r="F11" s="1">
        <v>2</v>
      </c>
      <c r="G11" s="1">
        <v>2</v>
      </c>
      <c r="H11" s="1" t="s">
        <v>56</v>
      </c>
      <c r="I11" s="1" t="s">
        <v>56</v>
      </c>
      <c r="J11" s="1" t="s">
        <v>56</v>
      </c>
      <c r="K11" s="1">
        <v>2</v>
      </c>
      <c r="L11" s="1">
        <v>2</v>
      </c>
      <c r="M11" t="s">
        <v>57</v>
      </c>
      <c r="N11" t="s">
        <v>58</v>
      </c>
      <c r="O11" t="s">
        <v>59</v>
      </c>
      <c r="P11">
        <v>1.9</v>
      </c>
    </row>
    <row r="14" spans="1:21" ht="15.75" x14ac:dyDescent="0.25">
      <c r="A14" s="3" t="s">
        <v>60</v>
      </c>
      <c r="H14" s="3" t="s">
        <v>61</v>
      </c>
    </row>
    <row r="15" spans="1:21" x14ac:dyDescent="0.25">
      <c r="A15" s="4" t="s">
        <v>62</v>
      </c>
      <c r="F15">
        <f>COUNTIFS(B2:B11,"&lt;&gt;*_*",B2:B11,"&lt;&gt;")</f>
        <v>6</v>
      </c>
      <c r="H15" s="4" t="s">
        <v>62</v>
      </c>
      <c r="K15">
        <f>COUNTIFS(B2:B11,"&lt;&gt;*_*",B2:B11,"&lt;&gt;",R2:R11,"&lt;&gt;TRUE")</f>
        <v>6</v>
      </c>
    </row>
    <row r="16" spans="1:21" x14ac:dyDescent="0.25">
      <c r="A16" s="4" t="s">
        <v>63</v>
      </c>
      <c r="F16">
        <f>COUNTIFS(F2:F11,"&gt;0")</f>
        <v>5</v>
      </c>
      <c r="H16" s="4" t="s">
        <v>63</v>
      </c>
      <c r="K16">
        <f>COUNTIFS(F2:F11,"&gt;0",R2:R11,"&lt;&gt;TRUE")</f>
        <v>5</v>
      </c>
    </row>
    <row r="17" spans="1:11" x14ac:dyDescent="0.25">
      <c r="A17" s="4" t="s">
        <v>64</v>
      </c>
      <c r="F17">
        <f>COUNTIFS(G2:G11,"&gt;0")</f>
        <v>6</v>
      </c>
      <c r="H17" s="4" t="s">
        <v>64</v>
      </c>
      <c r="K17">
        <f>COUNTIFS(G2:G11,"&gt;0",S2:S11,"&lt;&gt;TRUE")</f>
        <v>6</v>
      </c>
    </row>
    <row r="18" spans="1:11" x14ac:dyDescent="0.25">
      <c r="A18" s="4" t="s">
        <v>65</v>
      </c>
      <c r="F18">
        <f>COUNTIFS(F2:F11,"&lt;&gt;-1",F2:F11,"&lt;&gt;0",F2:F11,"&lt;2")</f>
        <v>2</v>
      </c>
      <c r="H18" s="4" t="s">
        <v>65</v>
      </c>
      <c r="K18">
        <f>COUNTIFS(F2:F11,"&lt;&gt;-1",F2:F11,"&lt;&gt;0",F2:F11,"&lt;2",R2:R11,"&lt;&gt;TRUE")</f>
        <v>2</v>
      </c>
    </row>
    <row r="19" spans="1:11" x14ac:dyDescent="0.25">
      <c r="A19" s="4" t="s">
        <v>66</v>
      </c>
      <c r="F19">
        <f>COUNTIFS(G2:G11,"&lt;&gt;-1",G2:G11,"&lt;&gt;0",G2:G11,"&lt;2")</f>
        <v>3</v>
      </c>
      <c r="H19" s="4" t="s">
        <v>66</v>
      </c>
      <c r="K19">
        <f>COUNTIFS(G2:G11,"&lt;&gt;-1",G2:G11,"&lt;&gt;0",G2:G11,"&lt;2",S2:S11,"&lt;&gt;TRUE")</f>
        <v>3</v>
      </c>
    </row>
    <row r="20" spans="1:11" x14ac:dyDescent="0.25">
      <c r="A20" s="4" t="s">
        <v>67</v>
      </c>
      <c r="F20">
        <f>COUNTIFS(F2:F11,"=-1")+COUNTIFS(F2:F11,"=-3")</f>
        <v>1</v>
      </c>
      <c r="H20" s="4" t="s">
        <v>67</v>
      </c>
      <c r="K20">
        <f>COUNTIFS(F2:F11,"=-1",R2:R11,"&lt;&gt;TRUE")+COUNTIFS(F2:F11,"=-3",R2:R11,"&lt;&gt;TRUE")</f>
        <v>1</v>
      </c>
    </row>
    <row r="21" spans="1:11" x14ac:dyDescent="0.25">
      <c r="A21" s="4" t="s">
        <v>68</v>
      </c>
      <c r="F21">
        <f>COUNTIFS(G2:G11,"=-1")+COUNTIFS(G2:G11,"=-3")</f>
        <v>0</v>
      </c>
      <c r="H21" s="4" t="s">
        <v>68</v>
      </c>
      <c r="K21">
        <f>COUNTIFS(G2:G11,"=-1",S2:S11,"&lt;&gt;TRUE")+COUNTIFS(G2:G11,"=-3",S2:S11,"&lt;&gt;TRUE")</f>
        <v>0</v>
      </c>
    </row>
    <row r="22" spans="1:11" x14ac:dyDescent="0.25">
      <c r="A22" s="4" t="s">
        <v>69</v>
      </c>
      <c r="F22" s="8">
        <f>F16/F15</f>
        <v>0.83333333333333337</v>
      </c>
      <c r="H22" s="4" t="s">
        <v>69</v>
      </c>
      <c r="K22" s="8">
        <f>K16/K15</f>
        <v>0.83333333333333337</v>
      </c>
    </row>
    <row r="23" spans="1:11" x14ac:dyDescent="0.25">
      <c r="A23" s="4" t="s">
        <v>70</v>
      </c>
      <c r="F23" s="8">
        <f>F17/F15</f>
        <v>1</v>
      </c>
      <c r="H23" s="4" t="s">
        <v>71</v>
      </c>
      <c r="K23" s="8">
        <f>K17/K15</f>
        <v>1</v>
      </c>
    </row>
    <row r="24" spans="1:11" x14ac:dyDescent="0.25">
      <c r="A24" s="4" t="s">
        <v>72</v>
      </c>
      <c r="F24" s="8">
        <f>F16/(F16+F18)</f>
        <v>0.7142857142857143</v>
      </c>
      <c r="H24" s="4" t="s">
        <v>72</v>
      </c>
      <c r="K24" s="8">
        <f>K16/(K16+K18)</f>
        <v>0.7142857142857143</v>
      </c>
    </row>
    <row r="25" spans="1:11" x14ac:dyDescent="0.25">
      <c r="A25" s="4" t="s">
        <v>73</v>
      </c>
      <c r="F25" s="8">
        <f>F17/(F17+F19)</f>
        <v>0.66666666666666663</v>
      </c>
      <c r="H25" s="4" t="s">
        <v>73</v>
      </c>
      <c r="K25" s="8">
        <f>K17/(K17+K19)</f>
        <v>0.66666666666666663</v>
      </c>
    </row>
    <row r="28" spans="1:11" ht="15.75" x14ac:dyDescent="0.25">
      <c r="A28" s="3" t="s">
        <v>74</v>
      </c>
      <c r="H28" s="3" t="s">
        <v>75</v>
      </c>
    </row>
    <row r="29" spans="1:11" x14ac:dyDescent="0.25">
      <c r="A29" s="4" t="s">
        <v>62</v>
      </c>
      <c r="F29">
        <f>COUNTIFS(H2:H11,"&lt;&gt;*_FP",H2:H11,"&lt;&gt;",H2:H11,"&lt;&gt;no structure")</f>
        <v>5</v>
      </c>
      <c r="H29" s="4" t="s">
        <v>62</v>
      </c>
      <c r="K29">
        <f>COUNTIFS(H2:H11,"&lt;&gt;*_FP",H2:H11,"&lt;&gt;",H2:H11,"&lt;&gt;no structure",T2:T11,"&lt;&gt;TRUE")</f>
        <v>5</v>
      </c>
    </row>
    <row r="30" spans="1:11" x14ac:dyDescent="0.25">
      <c r="A30" s="4" t="s">
        <v>63</v>
      </c>
      <c r="F30">
        <f>COUNTIFS(K2:K11,"&gt;0")</f>
        <v>4</v>
      </c>
      <c r="H30" s="4" t="s">
        <v>63</v>
      </c>
      <c r="K30">
        <f>COUNTIFS(K2:K11,"&gt;0",T2:T11,"&lt;&gt;TRUE")</f>
        <v>4</v>
      </c>
    </row>
    <row r="31" spans="1:11" x14ac:dyDescent="0.25">
      <c r="A31" s="4" t="s">
        <v>64</v>
      </c>
      <c r="F31">
        <f>COUNTIFS(L2:L11,"&gt;0")</f>
        <v>5</v>
      </c>
      <c r="H31" s="4" t="s">
        <v>64</v>
      </c>
      <c r="K31">
        <f>COUNTIFS(L2:L11,"&gt;0",U2:U11,"&lt;&gt;TRUE")</f>
        <v>5</v>
      </c>
    </row>
    <row r="32" spans="1:11" x14ac:dyDescent="0.25">
      <c r="A32" s="4" t="s">
        <v>65</v>
      </c>
      <c r="F32">
        <f>COUNTIFS(K2:K11,"&lt;&gt;-1",K2:K11,"&lt;&gt;0",K2:K11,"&lt;2")</f>
        <v>0</v>
      </c>
      <c r="H32" s="4" t="s">
        <v>65</v>
      </c>
      <c r="K32">
        <f>COUNTIFS(K2:K11,"&lt;&gt;-1",K2:K11,"&lt;&gt;0",K2:K11,"&lt;2",T2:T11,"&lt;&gt;TRUE")</f>
        <v>0</v>
      </c>
    </row>
    <row r="33" spans="1:11" x14ac:dyDescent="0.25">
      <c r="A33" s="4" t="s">
        <v>66</v>
      </c>
      <c r="F33">
        <f>COUNTIFS(L2:L11,"&lt;&gt;-1",L2:L11,"&lt;&gt;0",L2:L11,"&lt;2")</f>
        <v>4</v>
      </c>
      <c r="H33" s="4" t="s">
        <v>66</v>
      </c>
      <c r="K33">
        <f>COUNTIFS(L2:L11,"&lt;&gt;-1",L2:L11,"&lt;&gt;0",L2:L11,"&lt;2",U2:U11,"&lt;&gt;TRUE")</f>
        <v>4</v>
      </c>
    </row>
    <row r="34" spans="1:11" x14ac:dyDescent="0.25">
      <c r="A34" s="4" t="s">
        <v>67</v>
      </c>
      <c r="F34">
        <f>COUNTIFS(K2:K11,"=-1")+COUNTIFS(K2:K11,"=-3")</f>
        <v>1</v>
      </c>
      <c r="H34" s="4" t="s">
        <v>67</v>
      </c>
      <c r="K34">
        <f>COUNTIFS(K2:K11,"=-1",T2:T11,"&lt;&gt;TRUE")+COUNTIFS(K2:K11,"=-3",T2:T11,"&lt;&gt;TRUE")</f>
        <v>1</v>
      </c>
    </row>
    <row r="35" spans="1:11" x14ac:dyDescent="0.25">
      <c r="A35" s="4" t="s">
        <v>68</v>
      </c>
      <c r="F35">
        <f>COUNTIFS(L2:L11,"=-1")+COUNTIFS(L2:L11,"=-3")</f>
        <v>0</v>
      </c>
      <c r="H35" s="4" t="s">
        <v>68</v>
      </c>
      <c r="K35">
        <f>COUNTIFS(L2:L11,"=-1",U2:U11,"&lt;&gt;TRUE")+COUNTIFS(L2:L11,"=-3",U2:U11,"&lt;&gt;TRUE")</f>
        <v>0</v>
      </c>
    </row>
    <row r="36" spans="1:11" x14ac:dyDescent="0.25">
      <c r="A36" s="4" t="s">
        <v>69</v>
      </c>
      <c r="F36" s="8">
        <f>F30/F29</f>
        <v>0.8</v>
      </c>
      <c r="H36" s="4" t="s">
        <v>69</v>
      </c>
      <c r="K36" s="8">
        <f>K30/K29</f>
        <v>0.8</v>
      </c>
    </row>
    <row r="37" spans="1:11" x14ac:dyDescent="0.25">
      <c r="A37" s="4" t="s">
        <v>70</v>
      </c>
      <c r="F37" s="8">
        <f>F31/F29</f>
        <v>1</v>
      </c>
      <c r="H37" s="4" t="s">
        <v>71</v>
      </c>
      <c r="K37" s="8">
        <f>K31/K29</f>
        <v>1</v>
      </c>
    </row>
    <row r="38" spans="1:11" x14ac:dyDescent="0.25">
      <c r="A38" s="4" t="s">
        <v>72</v>
      </c>
      <c r="F38" s="8">
        <f>F30/(F30+F32)</f>
        <v>1</v>
      </c>
      <c r="H38" s="4" t="s">
        <v>72</v>
      </c>
      <c r="K38" s="8">
        <f>K30/(K30+K32)</f>
        <v>1</v>
      </c>
    </row>
    <row r="39" spans="1:11" x14ac:dyDescent="0.25">
      <c r="A39" s="4" t="s">
        <v>73</v>
      </c>
      <c r="F39" s="8">
        <f>F31/(F31+F33)</f>
        <v>0.55555555555555558</v>
      </c>
      <c r="H39" s="4" t="s">
        <v>73</v>
      </c>
      <c r="K39" s="8">
        <f>K31/(K31+K33)</f>
        <v>0.55555555555555558</v>
      </c>
    </row>
    <row r="42" spans="1:11" ht="15.75" x14ac:dyDescent="0.25">
      <c r="A42" s="3" t="s">
        <v>76</v>
      </c>
    </row>
    <row r="43" spans="1:11" x14ac:dyDescent="0.25">
      <c r="A43" s="1" t="s">
        <v>77</v>
      </c>
    </row>
    <row r="44" spans="1:11" x14ac:dyDescent="0.25">
      <c r="A44" s="5" t="s">
        <v>78</v>
      </c>
    </row>
    <row r="46" spans="1:11" x14ac:dyDescent="0.25">
      <c r="A46" s="1" t="s">
        <v>79</v>
      </c>
    </row>
    <row r="47" spans="1:11" x14ac:dyDescent="0.25">
      <c r="A47" s="6" t="s">
        <v>80</v>
      </c>
    </row>
    <row r="48" spans="1:11" x14ac:dyDescent="0.25">
      <c r="A48" s="7" t="s">
        <v>81</v>
      </c>
    </row>
    <row r="49" spans="1:1" x14ac:dyDescent="0.25">
      <c r="A49" s="5" t="s">
        <v>82</v>
      </c>
    </row>
    <row r="51" spans="1:1" x14ac:dyDescent="0.25">
      <c r="A51" s="4" t="s">
        <v>83</v>
      </c>
    </row>
    <row r="52" spans="1:1" x14ac:dyDescent="0.25">
      <c r="A52" t="s">
        <v>84</v>
      </c>
    </row>
    <row r="53" spans="1:1" x14ac:dyDescent="0.25">
      <c r="A53" t="s">
        <v>85</v>
      </c>
    </row>
    <row r="54" spans="1:1" x14ac:dyDescent="0.25">
      <c r="A54" t="s">
        <v>86</v>
      </c>
    </row>
    <row r="55" spans="1:1" x14ac:dyDescent="0.25">
      <c r="A55" t="s">
        <v>87</v>
      </c>
    </row>
    <row r="56" spans="1:1" x14ac:dyDescent="0.25">
      <c r="A56" t="s">
        <v>88</v>
      </c>
    </row>
    <row r="57" spans="1:1" x14ac:dyDescent="0.25">
      <c r="A57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workbookViewId="0"/>
  </sheetViews>
  <sheetFormatPr baseColWidth="10"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90</v>
      </c>
      <c r="B2" s="1" t="s">
        <v>38</v>
      </c>
      <c r="C2" t="s">
        <v>20</v>
      </c>
      <c r="D2" s="1" t="s">
        <v>38</v>
      </c>
      <c r="E2" s="1" t="s">
        <v>38</v>
      </c>
      <c r="F2" s="1">
        <v>2</v>
      </c>
      <c r="G2" s="1">
        <v>2</v>
      </c>
      <c r="H2" s="1" t="s">
        <v>91</v>
      </c>
      <c r="I2" s="1" t="s">
        <v>91</v>
      </c>
      <c r="J2" s="1" t="s">
        <v>91</v>
      </c>
      <c r="K2" s="1">
        <v>2</v>
      </c>
      <c r="L2" s="1">
        <v>2</v>
      </c>
      <c r="M2" t="s">
        <v>92</v>
      </c>
      <c r="N2" t="s">
        <v>93</v>
      </c>
      <c r="O2" t="s">
        <v>94</v>
      </c>
      <c r="P2">
        <v>32.5</v>
      </c>
    </row>
    <row r="3" spans="1:21" x14ac:dyDescent="0.25">
      <c r="A3" t="s">
        <v>90</v>
      </c>
      <c r="B3" s="1" t="s">
        <v>50</v>
      </c>
      <c r="C3" t="s">
        <v>20</v>
      </c>
      <c r="D3" s="5" t="s">
        <v>22</v>
      </c>
      <c r="E3" s="1" t="s">
        <v>50</v>
      </c>
      <c r="F3" s="5">
        <v>-1</v>
      </c>
      <c r="G3" s="1">
        <v>2</v>
      </c>
      <c r="H3" s="1" t="s">
        <v>95</v>
      </c>
      <c r="I3" s="5" t="s">
        <v>22</v>
      </c>
      <c r="J3" s="1" t="s">
        <v>95</v>
      </c>
      <c r="K3" s="5">
        <v>-1</v>
      </c>
      <c r="L3" s="1">
        <v>2</v>
      </c>
      <c r="M3" t="s">
        <v>96</v>
      </c>
      <c r="N3" t="s">
        <v>17</v>
      </c>
      <c r="O3" t="s">
        <v>97</v>
      </c>
      <c r="P3">
        <v>29.9</v>
      </c>
      <c r="Q3" t="s">
        <v>386</v>
      </c>
    </row>
    <row r="6" spans="1:21" ht="15.75" x14ac:dyDescent="0.25">
      <c r="A6" s="3" t="s">
        <v>60</v>
      </c>
      <c r="H6" s="3" t="s">
        <v>61</v>
      </c>
    </row>
    <row r="7" spans="1:21" x14ac:dyDescent="0.25">
      <c r="A7" s="4" t="s">
        <v>62</v>
      </c>
      <c r="F7">
        <f>COUNTIFS(B2:B3,"&lt;&gt;*_*",B2:B3,"&lt;&gt;")</f>
        <v>2</v>
      </c>
      <c r="H7" s="4" t="s">
        <v>62</v>
      </c>
      <c r="K7">
        <f>COUNTIFS(B2:B3,"&lt;&gt;*_*",B2:B3,"&lt;&gt;",R2:R3,"&lt;&gt;TRUE")</f>
        <v>2</v>
      </c>
    </row>
    <row r="8" spans="1:21" x14ac:dyDescent="0.25">
      <c r="A8" s="4" t="s">
        <v>63</v>
      </c>
      <c r="F8">
        <f>COUNTIFS(F2:F3,"&gt;0")</f>
        <v>1</v>
      </c>
      <c r="H8" s="4" t="s">
        <v>63</v>
      </c>
      <c r="K8">
        <f>COUNTIFS(F2:F3,"&gt;0",R2:R3,"&lt;&gt;TRUE")</f>
        <v>1</v>
      </c>
    </row>
    <row r="9" spans="1:21" x14ac:dyDescent="0.25">
      <c r="A9" s="4" t="s">
        <v>64</v>
      </c>
      <c r="F9">
        <f>COUNTIFS(G2:G3,"&gt;0")</f>
        <v>2</v>
      </c>
      <c r="H9" s="4" t="s">
        <v>64</v>
      </c>
      <c r="K9">
        <f>COUNTIFS(G2:G3,"&gt;0",S2:S3,"&lt;&gt;TRUE")</f>
        <v>2</v>
      </c>
    </row>
    <row r="10" spans="1:21" x14ac:dyDescent="0.25">
      <c r="A10" s="4" t="s">
        <v>65</v>
      </c>
      <c r="F10">
        <f>COUNTIFS(F2:F3,"&lt;&gt;-1",F2:F3,"&lt;&gt;0",F2:F3,"&lt;2")</f>
        <v>0</v>
      </c>
      <c r="H10" s="4" t="s">
        <v>65</v>
      </c>
      <c r="K10">
        <f>COUNTIFS(F2:F3,"&lt;&gt;-1",F2:F3,"&lt;&gt;0",F2:F3,"&lt;2",R2:R3,"&lt;&gt;TRUE")</f>
        <v>0</v>
      </c>
    </row>
    <row r="11" spans="1:21" x14ac:dyDescent="0.25">
      <c r="A11" s="4" t="s">
        <v>66</v>
      </c>
      <c r="F11">
        <f>COUNTIFS(G2:G3,"&lt;&gt;-1",G2:G3,"&lt;&gt;0",G2:G3,"&lt;2")</f>
        <v>0</v>
      </c>
      <c r="H11" s="4" t="s">
        <v>66</v>
      </c>
      <c r="K11">
        <f>COUNTIFS(G2:G3,"&lt;&gt;-1",G2:G3,"&lt;&gt;0",G2:G3,"&lt;2",S2:S3,"&lt;&gt;TRUE")</f>
        <v>0</v>
      </c>
    </row>
    <row r="12" spans="1:21" x14ac:dyDescent="0.25">
      <c r="A12" s="4" t="s">
        <v>67</v>
      </c>
      <c r="F12">
        <f>COUNTIFS(F2:F3,"=-1")+COUNTIFS(F2:F3,"=-3")</f>
        <v>1</v>
      </c>
      <c r="H12" s="4" t="s">
        <v>67</v>
      </c>
      <c r="K12">
        <f>COUNTIFS(F2:F3,"=-1",R2:R3,"&lt;&gt;TRUE")+COUNTIFS(F2:F3,"=-3",R2:R3,"&lt;&gt;TRUE")</f>
        <v>1</v>
      </c>
    </row>
    <row r="13" spans="1:21" x14ac:dyDescent="0.25">
      <c r="A13" s="4" t="s">
        <v>68</v>
      </c>
      <c r="F13">
        <f>COUNTIFS(G2:G3,"=-1")+COUNTIFS(G2:G3,"=-3")</f>
        <v>0</v>
      </c>
      <c r="H13" s="4" t="s">
        <v>68</v>
      </c>
      <c r="K13">
        <f>COUNTIFS(G2:G3,"=-1",S2:S3,"&lt;&gt;TRUE")+COUNTIFS(G2:G3,"=-3",S2:S3,"&lt;&gt;TRUE")</f>
        <v>0</v>
      </c>
    </row>
    <row r="14" spans="1:21" x14ac:dyDescent="0.25">
      <c r="A14" s="4" t="s">
        <v>69</v>
      </c>
      <c r="F14" s="8">
        <f>F8/F7</f>
        <v>0.5</v>
      </c>
      <c r="H14" s="4" t="s">
        <v>69</v>
      </c>
      <c r="K14" s="8">
        <f>K8/K7</f>
        <v>0.5</v>
      </c>
    </row>
    <row r="15" spans="1:21" x14ac:dyDescent="0.25">
      <c r="A15" s="4" t="s">
        <v>70</v>
      </c>
      <c r="F15" s="8">
        <f>F9/F7</f>
        <v>1</v>
      </c>
      <c r="H15" s="4" t="s">
        <v>71</v>
      </c>
      <c r="K15" s="8">
        <f>K9/K7</f>
        <v>1</v>
      </c>
    </row>
    <row r="16" spans="1:21" x14ac:dyDescent="0.25">
      <c r="A16" s="4" t="s">
        <v>72</v>
      </c>
      <c r="F16" s="8">
        <f>F8/(F8+F10)</f>
        <v>1</v>
      </c>
      <c r="H16" s="4" t="s">
        <v>72</v>
      </c>
      <c r="K16" s="8">
        <f>K8/(K8+K10)</f>
        <v>1</v>
      </c>
    </row>
    <row r="17" spans="1:11" x14ac:dyDescent="0.25">
      <c r="A17" s="4" t="s">
        <v>73</v>
      </c>
      <c r="F17" s="8">
        <f>F9/(F9+F11)</f>
        <v>1</v>
      </c>
      <c r="H17" s="4" t="s">
        <v>73</v>
      </c>
      <c r="K17" s="8">
        <f>K9/(K9+K11)</f>
        <v>1</v>
      </c>
    </row>
    <row r="20" spans="1:11" ht="15.75" x14ac:dyDescent="0.25">
      <c r="A20" s="3" t="s">
        <v>74</v>
      </c>
      <c r="H20" s="3" t="s">
        <v>75</v>
      </c>
    </row>
    <row r="21" spans="1:11" x14ac:dyDescent="0.25">
      <c r="A21" s="4" t="s">
        <v>62</v>
      </c>
      <c r="F21">
        <f>COUNTIFS(H2:H3,"&lt;&gt;*_FP",H2:H3,"&lt;&gt;",H2:H3,"&lt;&gt;no structure")</f>
        <v>2</v>
      </c>
      <c r="H21" s="4" t="s">
        <v>62</v>
      </c>
      <c r="K21">
        <f>COUNTIFS(H2:H3,"&lt;&gt;*_FP",H2:H3,"&lt;&gt;",H2:H3,"&lt;&gt;no structure",T2:T3,"&lt;&gt;TRUE")</f>
        <v>2</v>
      </c>
    </row>
    <row r="22" spans="1:11" x14ac:dyDescent="0.25">
      <c r="A22" s="4" t="s">
        <v>63</v>
      </c>
      <c r="F22">
        <f>COUNTIFS(K2:K3,"&gt;0")</f>
        <v>1</v>
      </c>
      <c r="H22" s="4" t="s">
        <v>63</v>
      </c>
      <c r="K22">
        <f>COUNTIFS(K2:K3,"&gt;0",T2:T3,"&lt;&gt;TRUE")</f>
        <v>1</v>
      </c>
    </row>
    <row r="23" spans="1:11" x14ac:dyDescent="0.25">
      <c r="A23" s="4" t="s">
        <v>64</v>
      </c>
      <c r="F23">
        <f>COUNTIFS(L2:L3,"&gt;0")</f>
        <v>2</v>
      </c>
      <c r="H23" s="4" t="s">
        <v>64</v>
      </c>
      <c r="K23">
        <f>COUNTIFS(L2:L3,"&gt;0",U2:U3,"&lt;&gt;TRUE")</f>
        <v>2</v>
      </c>
    </row>
    <row r="24" spans="1:11" x14ac:dyDescent="0.25">
      <c r="A24" s="4" t="s">
        <v>65</v>
      </c>
      <c r="F24">
        <f>COUNTIFS(K2:K3,"&lt;&gt;-1",K2:K3,"&lt;&gt;0",K2:K3,"&lt;2")</f>
        <v>0</v>
      </c>
      <c r="H24" s="4" t="s">
        <v>65</v>
      </c>
      <c r="K24">
        <f>COUNTIFS(K2:K3,"&lt;&gt;-1",K2:K3,"&lt;&gt;0",K2:K3,"&lt;2",T2:T3,"&lt;&gt;TRUE")</f>
        <v>0</v>
      </c>
    </row>
    <row r="25" spans="1:11" x14ac:dyDescent="0.25">
      <c r="A25" s="4" t="s">
        <v>66</v>
      </c>
      <c r="F25">
        <f>COUNTIFS(L2:L3,"&lt;&gt;-1",L2:L3,"&lt;&gt;0",L2:L3,"&lt;2")</f>
        <v>0</v>
      </c>
      <c r="H25" s="4" t="s">
        <v>66</v>
      </c>
      <c r="K25">
        <f>COUNTIFS(L2:L3,"&lt;&gt;-1",L2:L3,"&lt;&gt;0",L2:L3,"&lt;2",U2:U3,"&lt;&gt;TRUE")</f>
        <v>0</v>
      </c>
    </row>
    <row r="26" spans="1:11" x14ac:dyDescent="0.25">
      <c r="A26" s="4" t="s">
        <v>67</v>
      </c>
      <c r="F26">
        <f>COUNTIFS(K2:K3,"=-1")+COUNTIFS(K2:K3,"=-3")</f>
        <v>1</v>
      </c>
      <c r="H26" s="4" t="s">
        <v>67</v>
      </c>
      <c r="K26">
        <f>COUNTIFS(K2:K3,"=-1",T2:T3,"&lt;&gt;TRUE")+COUNTIFS(K2:K3,"=-3",T2:T3,"&lt;&gt;TRUE")</f>
        <v>1</v>
      </c>
    </row>
    <row r="27" spans="1:11" x14ac:dyDescent="0.25">
      <c r="A27" s="4" t="s">
        <v>68</v>
      </c>
      <c r="F27">
        <f>COUNTIFS(L2:L3,"=-1")+COUNTIFS(L2:L3,"=-3")</f>
        <v>0</v>
      </c>
      <c r="H27" s="4" t="s">
        <v>68</v>
      </c>
      <c r="K27">
        <f>COUNTIFS(L2:L3,"=-1",U2:U3,"&lt;&gt;TRUE")+COUNTIFS(L2:L3,"=-3",U2:U3,"&lt;&gt;TRUE")</f>
        <v>0</v>
      </c>
    </row>
    <row r="28" spans="1:11" x14ac:dyDescent="0.25">
      <c r="A28" s="4" t="s">
        <v>69</v>
      </c>
      <c r="F28" s="8">
        <f>F22/F21</f>
        <v>0.5</v>
      </c>
      <c r="H28" s="4" t="s">
        <v>69</v>
      </c>
      <c r="K28" s="8">
        <f>K22/K21</f>
        <v>0.5</v>
      </c>
    </row>
    <row r="29" spans="1:11" x14ac:dyDescent="0.25">
      <c r="A29" s="4" t="s">
        <v>70</v>
      </c>
      <c r="F29" s="8">
        <f>F23/F21</f>
        <v>1</v>
      </c>
      <c r="H29" s="4" t="s">
        <v>71</v>
      </c>
      <c r="K29" s="8">
        <f>K23/K21</f>
        <v>1</v>
      </c>
    </row>
    <row r="30" spans="1:11" x14ac:dyDescent="0.25">
      <c r="A30" s="4" t="s">
        <v>72</v>
      </c>
      <c r="F30" s="8">
        <f>F22/(F22+F24)</f>
        <v>1</v>
      </c>
      <c r="H30" s="4" t="s">
        <v>72</v>
      </c>
      <c r="K30" s="8">
        <f>K22/(K22+K24)</f>
        <v>1</v>
      </c>
    </row>
    <row r="31" spans="1:11" x14ac:dyDescent="0.25">
      <c r="A31" s="4" t="s">
        <v>73</v>
      </c>
      <c r="F31" s="8">
        <f>F23/(F23+F25)</f>
        <v>1</v>
      </c>
      <c r="H31" s="4" t="s">
        <v>73</v>
      </c>
      <c r="K31" s="8">
        <f>K23/(K23+K25)</f>
        <v>1</v>
      </c>
    </row>
    <row r="34" spans="1:1" ht="15.75" x14ac:dyDescent="0.25">
      <c r="A34" s="3" t="s">
        <v>76</v>
      </c>
    </row>
    <row r="35" spans="1:1" x14ac:dyDescent="0.25">
      <c r="A35" s="1" t="s">
        <v>77</v>
      </c>
    </row>
    <row r="36" spans="1:1" x14ac:dyDescent="0.25">
      <c r="A36" s="5" t="s">
        <v>78</v>
      </c>
    </row>
    <row r="38" spans="1:1" x14ac:dyDescent="0.25">
      <c r="A38" s="1" t="s">
        <v>79</v>
      </c>
    </row>
    <row r="39" spans="1:1" x14ac:dyDescent="0.25">
      <c r="A39" s="6" t="s">
        <v>80</v>
      </c>
    </row>
    <row r="40" spans="1:1" x14ac:dyDescent="0.25">
      <c r="A40" s="7" t="s">
        <v>81</v>
      </c>
    </row>
    <row r="41" spans="1:1" x14ac:dyDescent="0.25">
      <c r="A41" s="5" t="s">
        <v>82</v>
      </c>
    </row>
    <row r="43" spans="1:1" x14ac:dyDescent="0.25">
      <c r="A43" s="4" t="s">
        <v>83</v>
      </c>
    </row>
    <row r="44" spans="1:1" x14ac:dyDescent="0.25">
      <c r="A44" t="s">
        <v>84</v>
      </c>
    </row>
    <row r="45" spans="1:1" x14ac:dyDescent="0.25">
      <c r="A45" t="s">
        <v>85</v>
      </c>
    </row>
    <row r="46" spans="1:1" x14ac:dyDescent="0.25">
      <c r="A46" t="s">
        <v>86</v>
      </c>
    </row>
    <row r="47" spans="1:1" x14ac:dyDescent="0.25">
      <c r="A47" t="s">
        <v>87</v>
      </c>
    </row>
    <row r="48" spans="1:1" x14ac:dyDescent="0.25">
      <c r="A48" t="s">
        <v>88</v>
      </c>
    </row>
    <row r="49" spans="1:1" x14ac:dyDescent="0.25">
      <c r="A49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/>
  </sheetViews>
  <sheetFormatPr baseColWidth="10"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98</v>
      </c>
      <c r="B2" s="1" t="s">
        <v>99</v>
      </c>
      <c r="C2" t="s">
        <v>20</v>
      </c>
      <c r="D2" s="1" t="s">
        <v>99</v>
      </c>
      <c r="E2" s="1" t="s">
        <v>99</v>
      </c>
      <c r="F2" s="1">
        <v>2</v>
      </c>
      <c r="G2" s="1">
        <v>2</v>
      </c>
      <c r="H2" t="s">
        <v>100</v>
      </c>
      <c r="I2" t="s">
        <v>101</v>
      </c>
      <c r="J2" t="s">
        <v>102</v>
      </c>
      <c r="K2">
        <v>100</v>
      </c>
    </row>
    <row r="5" spans="1:14" ht="15.75" x14ac:dyDescent="0.25">
      <c r="A5" s="3" t="s">
        <v>60</v>
      </c>
      <c r="H5" s="3" t="s">
        <v>61</v>
      </c>
    </row>
    <row r="6" spans="1:14" x14ac:dyDescent="0.25">
      <c r="A6" s="4" t="s">
        <v>62</v>
      </c>
      <c r="F6">
        <f>COUNTIFS(B2:B2,"&lt;&gt;*_*",B2:B2,"&lt;&gt;")</f>
        <v>1</v>
      </c>
      <c r="H6" s="4" t="s">
        <v>62</v>
      </c>
      <c r="K6">
        <f>COUNTIFS(B2:B2,"&lt;&gt;*_*",B2:B2,"&lt;&gt;",M2:M2,"&lt;&gt;TRUE")</f>
        <v>1</v>
      </c>
    </row>
    <row r="7" spans="1:14" x14ac:dyDescent="0.25">
      <c r="A7" s="4" t="s">
        <v>63</v>
      </c>
      <c r="F7">
        <f>COUNTIFS(F2:F2,"&gt;0")</f>
        <v>1</v>
      </c>
      <c r="H7" s="4" t="s">
        <v>63</v>
      </c>
      <c r="K7">
        <f>COUNTIFS(F2:F2,"&gt;0",M2:M2,"&lt;&gt;TRUE")</f>
        <v>1</v>
      </c>
    </row>
    <row r="8" spans="1:14" x14ac:dyDescent="0.25">
      <c r="A8" s="4" t="s">
        <v>64</v>
      </c>
      <c r="F8">
        <f>COUNTIFS(G2:G2,"&gt;0")</f>
        <v>1</v>
      </c>
      <c r="H8" s="4" t="s">
        <v>64</v>
      </c>
      <c r="K8">
        <f>COUNTIFS(G2:G2,"&gt;0",N2:N2,"&lt;&gt;TRUE")</f>
        <v>1</v>
      </c>
    </row>
    <row r="9" spans="1:14" x14ac:dyDescent="0.25">
      <c r="A9" s="4" t="s">
        <v>65</v>
      </c>
      <c r="F9">
        <f>COUNTIFS(F2:F2,"&lt;&gt;-1",F2:F2,"&lt;&gt;0",F2:F2,"&lt;2")</f>
        <v>0</v>
      </c>
      <c r="H9" s="4" t="s">
        <v>65</v>
      </c>
      <c r="K9">
        <f>COUNTIFS(F2:F2,"&lt;&gt;-1",F2:F2,"&lt;&gt;0",F2:F2,"&lt;2",M2:M2,"&lt;&gt;TRUE")</f>
        <v>0</v>
      </c>
    </row>
    <row r="10" spans="1:14" x14ac:dyDescent="0.25">
      <c r="A10" s="4" t="s">
        <v>66</v>
      </c>
      <c r="F10">
        <f>COUNTIFS(G2:G2,"&lt;&gt;-1",G2:G2,"&lt;&gt;0",G2:G2,"&lt;2")</f>
        <v>0</v>
      </c>
      <c r="H10" s="4" t="s">
        <v>66</v>
      </c>
      <c r="K10">
        <f>COUNTIFS(G2:G2,"&lt;&gt;-1",G2:G2,"&lt;&gt;0",G2:G2,"&lt;2",N2:N2,"&lt;&gt;TRUE")</f>
        <v>0</v>
      </c>
    </row>
    <row r="11" spans="1:14" x14ac:dyDescent="0.25">
      <c r="A11" s="4" t="s">
        <v>67</v>
      </c>
      <c r="F11">
        <f>COUNTIFS(F2:F2,"=-1")+COUNTIFS(F2:F2,"=-3")</f>
        <v>0</v>
      </c>
      <c r="H11" s="4" t="s">
        <v>67</v>
      </c>
      <c r="K11">
        <f>COUNTIFS(F2:F2,"=-1",M2:M2,"&lt;&gt;TRUE")+COUNTIFS(F2:F2,"=-3",M2:M2,"&lt;&gt;TRUE")</f>
        <v>0</v>
      </c>
    </row>
    <row r="12" spans="1:14" x14ac:dyDescent="0.25">
      <c r="A12" s="4" t="s">
        <v>68</v>
      </c>
      <c r="F12">
        <f>COUNTIFS(G2:G2,"=-1")+COUNTIFS(G2:G2,"=-3")</f>
        <v>0</v>
      </c>
      <c r="H12" s="4" t="s">
        <v>68</v>
      </c>
      <c r="K12">
        <f>COUNTIFS(G2:G2,"=-1",N2:N2,"&lt;&gt;TRUE")+COUNTIFS(G2:G2,"=-3",N2:N2,"&lt;&gt;TRUE")</f>
        <v>0</v>
      </c>
    </row>
    <row r="13" spans="1:14" x14ac:dyDescent="0.25">
      <c r="A13" s="4" t="s">
        <v>69</v>
      </c>
      <c r="F13" s="8">
        <f>F7/F6</f>
        <v>1</v>
      </c>
      <c r="H13" s="4" t="s">
        <v>69</v>
      </c>
      <c r="K13" s="8">
        <f>K7/K6</f>
        <v>1</v>
      </c>
    </row>
    <row r="14" spans="1:14" x14ac:dyDescent="0.25">
      <c r="A14" s="4" t="s">
        <v>70</v>
      </c>
      <c r="F14" s="8">
        <f>F8/F6</f>
        <v>1</v>
      </c>
      <c r="H14" s="4" t="s">
        <v>71</v>
      </c>
      <c r="K14" s="8">
        <f>K8/K6</f>
        <v>1</v>
      </c>
    </row>
    <row r="15" spans="1:14" x14ac:dyDescent="0.25">
      <c r="A15" s="4" t="s">
        <v>72</v>
      </c>
      <c r="F15" s="8">
        <f>F7/(F7+F9)</f>
        <v>1</v>
      </c>
      <c r="H15" s="4" t="s">
        <v>72</v>
      </c>
      <c r="K15" s="8">
        <f>K7/(K7+K9)</f>
        <v>1</v>
      </c>
    </row>
    <row r="16" spans="1:14" x14ac:dyDescent="0.25">
      <c r="A16" s="4" t="s">
        <v>73</v>
      </c>
      <c r="F16" s="8">
        <f>F8/(F8+F10)</f>
        <v>1</v>
      </c>
      <c r="H16" s="4" t="s">
        <v>73</v>
      </c>
      <c r="K16" s="8">
        <f>K8/(K8+K10)</f>
        <v>1</v>
      </c>
    </row>
    <row r="19" spans="1:1" ht="15.75" x14ac:dyDescent="0.25">
      <c r="A19" s="3" t="s">
        <v>76</v>
      </c>
    </row>
    <row r="20" spans="1:1" x14ac:dyDescent="0.25">
      <c r="A20" s="1" t="s">
        <v>77</v>
      </c>
    </row>
    <row r="21" spans="1:1" x14ac:dyDescent="0.25">
      <c r="A21" s="5" t="s">
        <v>78</v>
      </c>
    </row>
    <row r="23" spans="1:1" x14ac:dyDescent="0.25">
      <c r="A23" s="1" t="s">
        <v>79</v>
      </c>
    </row>
    <row r="24" spans="1:1" x14ac:dyDescent="0.25">
      <c r="A24" s="6" t="s">
        <v>80</v>
      </c>
    </row>
    <row r="25" spans="1:1" x14ac:dyDescent="0.25">
      <c r="A25" s="7" t="s">
        <v>81</v>
      </c>
    </row>
    <row r="26" spans="1:1" x14ac:dyDescent="0.25">
      <c r="A26" s="5" t="s">
        <v>82</v>
      </c>
    </row>
    <row r="28" spans="1:1" x14ac:dyDescent="0.25">
      <c r="A28" s="4" t="s">
        <v>83</v>
      </c>
    </row>
    <row r="29" spans="1:1" x14ac:dyDescent="0.25">
      <c r="A29" t="s">
        <v>84</v>
      </c>
    </row>
    <row r="30" spans="1:1" x14ac:dyDescent="0.25">
      <c r="A30" t="s">
        <v>85</v>
      </c>
    </row>
    <row r="31" spans="1:1" x14ac:dyDescent="0.25">
      <c r="A31" t="s">
        <v>86</v>
      </c>
    </row>
    <row r="32" spans="1:1" x14ac:dyDescent="0.25">
      <c r="A32" t="s">
        <v>87</v>
      </c>
    </row>
    <row r="33" spans="1:1" x14ac:dyDescent="0.25">
      <c r="A33" t="s">
        <v>88</v>
      </c>
    </row>
    <row r="34" spans="1:1" x14ac:dyDescent="0.25">
      <c r="A34" t="s">
        <v>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103</v>
      </c>
      <c r="B2" s="1" t="s">
        <v>50</v>
      </c>
      <c r="C2" t="s">
        <v>20</v>
      </c>
      <c r="D2" s="1" t="s">
        <v>50</v>
      </c>
      <c r="E2" s="1" t="s">
        <v>50</v>
      </c>
      <c r="F2" s="1">
        <v>2</v>
      </c>
      <c r="G2" s="1">
        <v>2</v>
      </c>
      <c r="H2" s="1" t="s">
        <v>51</v>
      </c>
      <c r="I2" s="1" t="s">
        <v>51</v>
      </c>
      <c r="J2" s="1" t="s">
        <v>51</v>
      </c>
      <c r="K2" s="1">
        <v>2</v>
      </c>
      <c r="L2" s="1">
        <v>2</v>
      </c>
      <c r="M2" t="s">
        <v>104</v>
      </c>
      <c r="N2" t="s">
        <v>105</v>
      </c>
      <c r="O2" t="s">
        <v>106</v>
      </c>
      <c r="P2">
        <v>16.5</v>
      </c>
    </row>
    <row r="3" spans="1:21" x14ac:dyDescent="0.25">
      <c r="A3" t="s">
        <v>103</v>
      </c>
      <c r="B3" s="1" t="s">
        <v>107</v>
      </c>
      <c r="C3" t="s">
        <v>20</v>
      </c>
      <c r="D3" s="5" t="s">
        <v>22</v>
      </c>
      <c r="E3" s="1" t="s">
        <v>107</v>
      </c>
      <c r="F3" s="5">
        <v>-1</v>
      </c>
      <c r="G3" s="1">
        <v>2</v>
      </c>
      <c r="H3" s="1" t="s">
        <v>108</v>
      </c>
      <c r="I3" s="5" t="s">
        <v>22</v>
      </c>
      <c r="J3" s="1" t="s">
        <v>109</v>
      </c>
      <c r="K3" s="5">
        <v>-1</v>
      </c>
      <c r="L3" s="1">
        <v>2</v>
      </c>
      <c r="M3" t="s">
        <v>57</v>
      </c>
      <c r="N3" t="s">
        <v>17</v>
      </c>
      <c r="O3" t="s">
        <v>110</v>
      </c>
      <c r="P3">
        <v>50</v>
      </c>
      <c r="Q3" t="s">
        <v>387</v>
      </c>
    </row>
    <row r="4" spans="1:21" x14ac:dyDescent="0.25">
      <c r="A4" t="s">
        <v>103</v>
      </c>
      <c r="B4" s="1" t="s">
        <v>111</v>
      </c>
      <c r="C4" t="s">
        <v>20</v>
      </c>
      <c r="D4" s="1" t="s">
        <v>111</v>
      </c>
      <c r="E4" s="1" t="s">
        <v>111</v>
      </c>
      <c r="F4" s="1">
        <v>2</v>
      </c>
      <c r="G4" s="1">
        <v>2</v>
      </c>
      <c r="H4" s="1" t="s">
        <v>112</v>
      </c>
      <c r="I4" s="1" t="s">
        <v>112</v>
      </c>
      <c r="J4" s="1" t="s">
        <v>113</v>
      </c>
      <c r="K4" s="1">
        <v>2</v>
      </c>
      <c r="L4" s="1">
        <v>2</v>
      </c>
      <c r="M4" t="s">
        <v>114</v>
      </c>
      <c r="N4" t="s">
        <v>115</v>
      </c>
      <c r="O4" t="s">
        <v>116</v>
      </c>
      <c r="P4">
        <v>50</v>
      </c>
    </row>
    <row r="7" spans="1:21" ht="15.75" x14ac:dyDescent="0.25">
      <c r="A7" s="3" t="s">
        <v>60</v>
      </c>
      <c r="H7" s="3" t="s">
        <v>61</v>
      </c>
    </row>
    <row r="8" spans="1:21" x14ac:dyDescent="0.25">
      <c r="A8" s="4" t="s">
        <v>62</v>
      </c>
      <c r="F8">
        <f>COUNTIFS(B2:B4,"&lt;&gt;*_*",B2:B4,"&lt;&gt;")</f>
        <v>3</v>
      </c>
      <c r="H8" s="4" t="s">
        <v>62</v>
      </c>
      <c r="K8">
        <f>COUNTIFS(B2:B4,"&lt;&gt;*_*",B2:B4,"&lt;&gt;",R2:R4,"&lt;&gt;TRUE")</f>
        <v>3</v>
      </c>
    </row>
    <row r="9" spans="1:21" x14ac:dyDescent="0.25">
      <c r="A9" s="4" t="s">
        <v>63</v>
      </c>
      <c r="F9">
        <f>COUNTIFS(F2:F4,"&gt;0")</f>
        <v>2</v>
      </c>
      <c r="H9" s="4" t="s">
        <v>63</v>
      </c>
      <c r="K9">
        <f>COUNTIFS(F2:F4,"&gt;0",R2:R4,"&lt;&gt;TRUE")</f>
        <v>2</v>
      </c>
    </row>
    <row r="10" spans="1:21" x14ac:dyDescent="0.25">
      <c r="A10" s="4" t="s">
        <v>64</v>
      </c>
      <c r="F10">
        <f>COUNTIFS(G2:G4,"&gt;0")</f>
        <v>3</v>
      </c>
      <c r="H10" s="4" t="s">
        <v>64</v>
      </c>
      <c r="K10">
        <f>COUNTIFS(G2:G4,"&gt;0",S2:S4,"&lt;&gt;TRUE")</f>
        <v>3</v>
      </c>
    </row>
    <row r="11" spans="1:21" x14ac:dyDescent="0.25">
      <c r="A11" s="4" t="s">
        <v>65</v>
      </c>
      <c r="F11">
        <f>COUNTIFS(F2:F4,"&lt;&gt;-1",F2:F4,"&lt;&gt;0",F2:F4,"&lt;2")</f>
        <v>0</v>
      </c>
      <c r="H11" s="4" t="s">
        <v>65</v>
      </c>
      <c r="K11">
        <f>COUNTIFS(F2:F4,"&lt;&gt;-1",F2:F4,"&lt;&gt;0",F2:F4,"&lt;2",R2:R4,"&lt;&gt;TRUE")</f>
        <v>0</v>
      </c>
    </row>
    <row r="12" spans="1:21" x14ac:dyDescent="0.25">
      <c r="A12" s="4" t="s">
        <v>66</v>
      </c>
      <c r="F12">
        <f>COUNTIFS(G2:G4,"&lt;&gt;-1",G2:G4,"&lt;&gt;0",G2:G4,"&lt;2")</f>
        <v>0</v>
      </c>
      <c r="H12" s="4" t="s">
        <v>66</v>
      </c>
      <c r="K12">
        <f>COUNTIFS(G2:G4,"&lt;&gt;-1",G2:G4,"&lt;&gt;0",G2:G4,"&lt;2",S2:S4,"&lt;&gt;TRUE")</f>
        <v>0</v>
      </c>
    </row>
    <row r="13" spans="1:21" x14ac:dyDescent="0.25">
      <c r="A13" s="4" t="s">
        <v>67</v>
      </c>
      <c r="F13">
        <f>COUNTIFS(F2:F4,"=-1")+COUNTIFS(F2:F4,"=-3")</f>
        <v>1</v>
      </c>
      <c r="H13" s="4" t="s">
        <v>67</v>
      </c>
      <c r="K13">
        <f>COUNTIFS(F2:F4,"=-1",R2:R4,"&lt;&gt;TRUE")+COUNTIFS(F2:F4,"=-3",R2:R4,"&lt;&gt;TRUE")</f>
        <v>1</v>
      </c>
    </row>
    <row r="14" spans="1:21" x14ac:dyDescent="0.25">
      <c r="A14" s="4" t="s">
        <v>68</v>
      </c>
      <c r="F14">
        <f>COUNTIFS(G2:G4,"=-1")+COUNTIFS(G2:G4,"=-3")</f>
        <v>0</v>
      </c>
      <c r="H14" s="4" t="s">
        <v>68</v>
      </c>
      <c r="K14">
        <f>COUNTIFS(G2:G4,"=-1",S2:S4,"&lt;&gt;TRUE")+COUNTIFS(G2:G4,"=-3",S2:S4,"&lt;&gt;TRUE")</f>
        <v>0</v>
      </c>
    </row>
    <row r="15" spans="1:21" x14ac:dyDescent="0.25">
      <c r="A15" s="4" t="s">
        <v>69</v>
      </c>
      <c r="F15" s="8">
        <f>F9/F8</f>
        <v>0.66666666666666663</v>
      </c>
      <c r="H15" s="4" t="s">
        <v>69</v>
      </c>
      <c r="K15" s="8">
        <f>K9/K8</f>
        <v>0.66666666666666663</v>
      </c>
    </row>
    <row r="16" spans="1:21" x14ac:dyDescent="0.25">
      <c r="A16" s="4" t="s">
        <v>70</v>
      </c>
      <c r="F16" s="8">
        <f>F10/F8</f>
        <v>1</v>
      </c>
      <c r="H16" s="4" t="s">
        <v>71</v>
      </c>
      <c r="K16" s="8">
        <f>K10/K8</f>
        <v>1</v>
      </c>
    </row>
    <row r="17" spans="1:11" x14ac:dyDescent="0.25">
      <c r="A17" s="4" t="s">
        <v>72</v>
      </c>
      <c r="F17" s="8">
        <f>F9/(F9+F11)</f>
        <v>1</v>
      </c>
      <c r="H17" s="4" t="s">
        <v>72</v>
      </c>
      <c r="K17" s="8">
        <f>K9/(K9+K11)</f>
        <v>1</v>
      </c>
    </row>
    <row r="18" spans="1:11" x14ac:dyDescent="0.25">
      <c r="A18" s="4" t="s">
        <v>73</v>
      </c>
      <c r="F18" s="8">
        <f>F10/(F10+F12)</f>
        <v>1</v>
      </c>
      <c r="H18" s="4" t="s">
        <v>73</v>
      </c>
      <c r="K18" s="8">
        <f>K10/(K10+K12)</f>
        <v>1</v>
      </c>
    </row>
    <row r="21" spans="1:11" ht="15.75" x14ac:dyDescent="0.25">
      <c r="A21" s="3" t="s">
        <v>74</v>
      </c>
      <c r="H21" s="3" t="s">
        <v>75</v>
      </c>
    </row>
    <row r="22" spans="1:11" x14ac:dyDescent="0.25">
      <c r="A22" s="4" t="s">
        <v>62</v>
      </c>
      <c r="F22">
        <f>COUNTIFS(H2:H4,"&lt;&gt;*_FP",H2:H4,"&lt;&gt;",H2:H4,"&lt;&gt;no structure")</f>
        <v>3</v>
      </c>
      <c r="H22" s="4" t="s">
        <v>62</v>
      </c>
      <c r="K22">
        <f>COUNTIFS(H2:H4,"&lt;&gt;*_FP",H2:H4,"&lt;&gt;",H2:H4,"&lt;&gt;no structure",T2:T4,"&lt;&gt;TRUE")</f>
        <v>3</v>
      </c>
    </row>
    <row r="23" spans="1:11" x14ac:dyDescent="0.25">
      <c r="A23" s="4" t="s">
        <v>63</v>
      </c>
      <c r="F23">
        <f>COUNTIFS(K2:K4,"&gt;0")</f>
        <v>2</v>
      </c>
      <c r="H23" s="4" t="s">
        <v>63</v>
      </c>
      <c r="K23">
        <f>COUNTIFS(K2:K4,"&gt;0",T2:T4,"&lt;&gt;TRUE")</f>
        <v>2</v>
      </c>
    </row>
    <row r="24" spans="1:11" x14ac:dyDescent="0.25">
      <c r="A24" s="4" t="s">
        <v>64</v>
      </c>
      <c r="F24">
        <f>COUNTIFS(L2:L4,"&gt;0")</f>
        <v>3</v>
      </c>
      <c r="H24" s="4" t="s">
        <v>64</v>
      </c>
      <c r="K24">
        <f>COUNTIFS(L2:L4,"&gt;0",U2:U4,"&lt;&gt;TRUE")</f>
        <v>3</v>
      </c>
    </row>
    <row r="25" spans="1:11" x14ac:dyDescent="0.25">
      <c r="A25" s="4" t="s">
        <v>65</v>
      </c>
      <c r="F25">
        <f>COUNTIFS(K2:K4,"&lt;&gt;-1",K2:K4,"&lt;&gt;0",K2:K4,"&lt;2")</f>
        <v>0</v>
      </c>
      <c r="H25" s="4" t="s">
        <v>65</v>
      </c>
      <c r="K25">
        <f>COUNTIFS(K2:K4,"&lt;&gt;-1",K2:K4,"&lt;&gt;0",K2:K4,"&lt;2",T2:T4,"&lt;&gt;TRUE")</f>
        <v>0</v>
      </c>
    </row>
    <row r="26" spans="1:11" x14ac:dyDescent="0.25">
      <c r="A26" s="4" t="s">
        <v>66</v>
      </c>
      <c r="F26">
        <f>COUNTIFS(L2:L4,"&lt;&gt;-1",L2:L4,"&lt;&gt;0",L2:L4,"&lt;2")</f>
        <v>0</v>
      </c>
      <c r="H26" s="4" t="s">
        <v>66</v>
      </c>
      <c r="K26">
        <f>COUNTIFS(L2:L4,"&lt;&gt;-1",L2:L4,"&lt;&gt;0",L2:L4,"&lt;2",U2:U4,"&lt;&gt;TRUE")</f>
        <v>0</v>
      </c>
    </row>
    <row r="27" spans="1:11" x14ac:dyDescent="0.25">
      <c r="A27" s="4" t="s">
        <v>67</v>
      </c>
      <c r="F27">
        <f>COUNTIFS(K2:K4,"=-1")+COUNTIFS(K2:K4,"=-3")</f>
        <v>1</v>
      </c>
      <c r="H27" s="4" t="s">
        <v>67</v>
      </c>
      <c r="K27">
        <f>COUNTIFS(K2:K4,"=-1",T2:T4,"&lt;&gt;TRUE")+COUNTIFS(K2:K4,"=-3",T2:T4,"&lt;&gt;TRUE")</f>
        <v>1</v>
      </c>
    </row>
    <row r="28" spans="1:11" x14ac:dyDescent="0.25">
      <c r="A28" s="4" t="s">
        <v>68</v>
      </c>
      <c r="F28">
        <f>COUNTIFS(L2:L4,"=-1")+COUNTIFS(L2:L4,"=-3")</f>
        <v>0</v>
      </c>
      <c r="H28" s="4" t="s">
        <v>68</v>
      </c>
      <c r="K28">
        <f>COUNTIFS(L2:L4,"=-1",U2:U4,"&lt;&gt;TRUE")+COUNTIFS(L2:L4,"=-3",U2:U4,"&lt;&gt;TRUE")</f>
        <v>0</v>
      </c>
    </row>
    <row r="29" spans="1:11" x14ac:dyDescent="0.25">
      <c r="A29" s="4" t="s">
        <v>69</v>
      </c>
      <c r="F29" s="8">
        <f>F23/F22</f>
        <v>0.66666666666666663</v>
      </c>
      <c r="H29" s="4" t="s">
        <v>69</v>
      </c>
      <c r="K29" s="8">
        <f>K23/K22</f>
        <v>0.66666666666666663</v>
      </c>
    </row>
    <row r="30" spans="1:11" x14ac:dyDescent="0.25">
      <c r="A30" s="4" t="s">
        <v>70</v>
      </c>
      <c r="F30" s="8">
        <f>F24/F22</f>
        <v>1</v>
      </c>
      <c r="H30" s="4" t="s">
        <v>71</v>
      </c>
      <c r="K30" s="8">
        <f>K24/K22</f>
        <v>1</v>
      </c>
    </row>
    <row r="31" spans="1:11" x14ac:dyDescent="0.25">
      <c r="A31" s="4" t="s">
        <v>72</v>
      </c>
      <c r="F31" s="8">
        <f>F23/(F23+F25)</f>
        <v>1</v>
      </c>
      <c r="H31" s="4" t="s">
        <v>72</v>
      </c>
      <c r="K31" s="8">
        <f>K23/(K23+K25)</f>
        <v>1</v>
      </c>
    </row>
    <row r="32" spans="1:11" x14ac:dyDescent="0.25">
      <c r="A32" s="4" t="s">
        <v>73</v>
      </c>
      <c r="F32" s="8">
        <f>F24/(F24+F26)</f>
        <v>1</v>
      </c>
      <c r="H32" s="4" t="s">
        <v>73</v>
      </c>
      <c r="K32" s="8">
        <f>K24/(K24+K26)</f>
        <v>1</v>
      </c>
    </row>
    <row r="35" spans="1:1" ht="15.75" x14ac:dyDescent="0.25">
      <c r="A35" s="3" t="s">
        <v>76</v>
      </c>
    </row>
    <row r="36" spans="1:1" x14ac:dyDescent="0.25">
      <c r="A36" s="1" t="s">
        <v>77</v>
      </c>
    </row>
    <row r="37" spans="1:1" x14ac:dyDescent="0.25">
      <c r="A37" s="5" t="s">
        <v>78</v>
      </c>
    </row>
    <row r="39" spans="1:1" x14ac:dyDescent="0.25">
      <c r="A39" s="1" t="s">
        <v>79</v>
      </c>
    </row>
    <row r="40" spans="1:1" x14ac:dyDescent="0.25">
      <c r="A40" s="6" t="s">
        <v>80</v>
      </c>
    </row>
    <row r="41" spans="1:1" x14ac:dyDescent="0.25">
      <c r="A41" s="7" t="s">
        <v>81</v>
      </c>
    </row>
    <row r="42" spans="1:1" x14ac:dyDescent="0.25">
      <c r="A42" s="5" t="s">
        <v>82</v>
      </c>
    </row>
    <row r="44" spans="1:1" x14ac:dyDescent="0.25">
      <c r="A44" s="4" t="s">
        <v>83</v>
      </c>
    </row>
    <row r="45" spans="1:1" x14ac:dyDescent="0.25">
      <c r="A45" t="s">
        <v>84</v>
      </c>
    </row>
    <row r="46" spans="1:1" x14ac:dyDescent="0.25">
      <c r="A46" t="s">
        <v>85</v>
      </c>
    </row>
    <row r="47" spans="1:1" x14ac:dyDescent="0.25">
      <c r="A47" t="s">
        <v>86</v>
      </c>
    </row>
    <row r="48" spans="1:1" x14ac:dyDescent="0.25">
      <c r="A48" t="s">
        <v>87</v>
      </c>
    </row>
    <row r="49" spans="1:1" x14ac:dyDescent="0.25">
      <c r="A49" t="s">
        <v>88</v>
      </c>
    </row>
    <row r="50" spans="1:1" x14ac:dyDescent="0.25">
      <c r="A50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"/>
  <sheetViews>
    <sheetView topLeftCell="A58" workbookViewId="0"/>
  </sheetViews>
  <sheetFormatPr baseColWidth="10"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117</v>
      </c>
      <c r="B2" s="5" t="s">
        <v>118</v>
      </c>
      <c r="C2" t="s">
        <v>119</v>
      </c>
      <c r="D2" t="s">
        <v>22</v>
      </c>
      <c r="E2" s="5" t="s">
        <v>120</v>
      </c>
      <c r="F2">
        <v>0</v>
      </c>
      <c r="G2" s="5">
        <v>-2</v>
      </c>
      <c r="H2" s="5" t="s">
        <v>121</v>
      </c>
      <c r="I2" t="s">
        <v>22</v>
      </c>
      <c r="J2" s="5" t="s">
        <v>122</v>
      </c>
      <c r="K2">
        <v>0</v>
      </c>
      <c r="L2" s="5">
        <v>-2</v>
      </c>
      <c r="M2" t="s">
        <v>17</v>
      </c>
      <c r="N2" t="s">
        <v>17</v>
      </c>
      <c r="O2" t="s">
        <v>123</v>
      </c>
      <c r="P2">
        <v>16.399999999999999</v>
      </c>
      <c r="Q2" t="s">
        <v>388</v>
      </c>
    </row>
    <row r="3" spans="1:21" x14ac:dyDescent="0.25">
      <c r="A3" t="s">
        <v>117</v>
      </c>
      <c r="B3" s="5" t="s">
        <v>124</v>
      </c>
      <c r="C3" t="s">
        <v>125</v>
      </c>
      <c r="D3" t="s">
        <v>22</v>
      </c>
      <c r="E3" s="5" t="s">
        <v>126</v>
      </c>
      <c r="F3">
        <v>0</v>
      </c>
      <c r="G3" s="5">
        <v>-2</v>
      </c>
      <c r="H3" s="5" t="s">
        <v>127</v>
      </c>
      <c r="I3" t="s">
        <v>22</v>
      </c>
      <c r="J3" s="5" t="s">
        <v>128</v>
      </c>
      <c r="K3">
        <v>0</v>
      </c>
      <c r="L3" s="5">
        <v>-2</v>
      </c>
      <c r="M3" t="s">
        <v>17</v>
      </c>
      <c r="N3" t="s">
        <v>17</v>
      </c>
      <c r="O3" s="10">
        <v>23.613250000000001</v>
      </c>
      <c r="P3">
        <v>45.5</v>
      </c>
      <c r="Q3" t="s">
        <v>389</v>
      </c>
    </row>
    <row r="4" spans="1:21" x14ac:dyDescent="0.25">
      <c r="A4" t="s">
        <v>117</v>
      </c>
      <c r="B4" s="1" t="s">
        <v>129</v>
      </c>
      <c r="C4" t="s">
        <v>125</v>
      </c>
      <c r="D4" t="s">
        <v>130</v>
      </c>
      <c r="E4" t="s">
        <v>22</v>
      </c>
      <c r="F4">
        <v>0</v>
      </c>
      <c r="G4">
        <v>0</v>
      </c>
      <c r="M4" t="s">
        <v>131</v>
      </c>
      <c r="N4" t="s">
        <v>132</v>
      </c>
      <c r="O4" t="s">
        <v>17</v>
      </c>
      <c r="Q4" t="s">
        <v>133</v>
      </c>
    </row>
    <row r="5" spans="1:21" x14ac:dyDescent="0.25">
      <c r="A5" t="s">
        <v>117</v>
      </c>
      <c r="B5" s="1" t="s">
        <v>134</v>
      </c>
      <c r="C5" t="s">
        <v>125</v>
      </c>
      <c r="D5" s="5" t="s">
        <v>22</v>
      </c>
      <c r="E5" s="1" t="s">
        <v>134</v>
      </c>
      <c r="F5" s="5">
        <v>-1</v>
      </c>
      <c r="G5" s="1">
        <v>2</v>
      </c>
      <c r="H5" s="1" t="s">
        <v>135</v>
      </c>
      <c r="I5" s="5" t="s">
        <v>22</v>
      </c>
      <c r="J5" s="1" t="s">
        <v>136</v>
      </c>
      <c r="K5" s="5">
        <v>-1</v>
      </c>
      <c r="L5" s="1">
        <v>2</v>
      </c>
      <c r="M5" t="s">
        <v>137</v>
      </c>
      <c r="N5" t="s">
        <v>17</v>
      </c>
      <c r="O5">
        <v>28.246369999999999</v>
      </c>
      <c r="P5">
        <v>46</v>
      </c>
    </row>
    <row r="6" spans="1:21" x14ac:dyDescent="0.25">
      <c r="H6" s="5" t="s">
        <v>138</v>
      </c>
      <c r="I6" t="s">
        <v>22</v>
      </c>
      <c r="J6" s="5" t="s">
        <v>139</v>
      </c>
      <c r="K6">
        <v>0</v>
      </c>
      <c r="L6" s="5">
        <v>-2</v>
      </c>
      <c r="M6" t="s">
        <v>17</v>
      </c>
      <c r="N6" t="s">
        <v>17</v>
      </c>
      <c r="O6" t="s">
        <v>140</v>
      </c>
      <c r="P6">
        <v>0.6</v>
      </c>
      <c r="Q6" t="s">
        <v>390</v>
      </c>
    </row>
    <row r="7" spans="1:21" x14ac:dyDescent="0.25">
      <c r="A7" t="s">
        <v>117</v>
      </c>
      <c r="B7" s="1" t="s">
        <v>141</v>
      </c>
      <c r="C7" t="s">
        <v>125</v>
      </c>
      <c r="D7" s="1" t="s">
        <v>141</v>
      </c>
      <c r="E7" s="1" t="s">
        <v>141</v>
      </c>
      <c r="F7" s="1">
        <v>2</v>
      </c>
      <c r="G7" s="1">
        <v>2</v>
      </c>
      <c r="H7" s="1" t="s">
        <v>142</v>
      </c>
      <c r="I7" s="1" t="s">
        <v>142</v>
      </c>
      <c r="J7" s="1" t="s">
        <v>142</v>
      </c>
      <c r="K7" s="1">
        <v>2</v>
      </c>
      <c r="L7" s="1">
        <v>2</v>
      </c>
      <c r="M7" t="s">
        <v>143</v>
      </c>
      <c r="N7" t="s">
        <v>144</v>
      </c>
      <c r="O7" t="s">
        <v>145</v>
      </c>
      <c r="P7">
        <v>5.5</v>
      </c>
    </row>
    <row r="8" spans="1:21" x14ac:dyDescent="0.25">
      <c r="A8" t="s">
        <v>117</v>
      </c>
      <c r="B8" s="1" t="s">
        <v>25</v>
      </c>
      <c r="C8" t="s">
        <v>125</v>
      </c>
      <c r="D8" s="1" t="s">
        <v>25</v>
      </c>
      <c r="E8" s="1" t="s">
        <v>25</v>
      </c>
      <c r="F8" s="1">
        <v>2</v>
      </c>
      <c r="G8" s="1">
        <v>2</v>
      </c>
      <c r="H8" s="1" t="s">
        <v>146</v>
      </c>
      <c r="I8" s="1" t="s">
        <v>146</v>
      </c>
      <c r="J8" s="1" t="s">
        <v>146</v>
      </c>
      <c r="K8" s="1">
        <v>2</v>
      </c>
      <c r="L8" s="1">
        <v>2</v>
      </c>
      <c r="M8" t="s">
        <v>147</v>
      </c>
      <c r="N8" t="s">
        <v>148</v>
      </c>
      <c r="O8" t="s">
        <v>149</v>
      </c>
      <c r="P8">
        <v>8.1</v>
      </c>
    </row>
    <row r="9" spans="1:21" x14ac:dyDescent="0.25">
      <c r="A9" t="s">
        <v>117</v>
      </c>
      <c r="B9" s="1" t="s">
        <v>25</v>
      </c>
      <c r="C9" t="s">
        <v>119</v>
      </c>
      <c r="D9" s="1" t="s">
        <v>25</v>
      </c>
      <c r="E9" s="1" t="s">
        <v>25</v>
      </c>
      <c r="F9" s="1">
        <v>2</v>
      </c>
      <c r="G9" s="1">
        <v>2</v>
      </c>
      <c r="H9" s="1" t="s">
        <v>146</v>
      </c>
      <c r="I9" s="1" t="s">
        <v>146</v>
      </c>
      <c r="J9" s="1" t="s">
        <v>146</v>
      </c>
      <c r="K9" s="1">
        <v>2</v>
      </c>
      <c r="L9" s="1">
        <v>2</v>
      </c>
      <c r="M9" t="s">
        <v>147</v>
      </c>
      <c r="N9" t="s">
        <v>148</v>
      </c>
      <c r="O9" t="s">
        <v>150</v>
      </c>
      <c r="P9">
        <v>16</v>
      </c>
      <c r="R9" t="b">
        <v>1</v>
      </c>
      <c r="S9" t="b">
        <v>1</v>
      </c>
      <c r="T9" t="b">
        <v>1</v>
      </c>
      <c r="U9" t="b">
        <v>1</v>
      </c>
    </row>
    <row r="10" spans="1:21" x14ac:dyDescent="0.25">
      <c r="A10" t="s">
        <v>117</v>
      </c>
      <c r="B10" s="1" t="s">
        <v>151</v>
      </c>
      <c r="C10" t="s">
        <v>125</v>
      </c>
      <c r="D10" t="s">
        <v>152</v>
      </c>
      <c r="E10" t="s">
        <v>22</v>
      </c>
      <c r="F10">
        <v>0</v>
      </c>
      <c r="G10">
        <v>0</v>
      </c>
      <c r="M10" t="s">
        <v>153</v>
      </c>
      <c r="N10" t="s">
        <v>132</v>
      </c>
      <c r="O10" t="s">
        <v>17</v>
      </c>
      <c r="Q10" t="s">
        <v>133</v>
      </c>
    </row>
    <row r="11" spans="1:21" x14ac:dyDescent="0.25">
      <c r="A11" t="s">
        <v>117</v>
      </c>
      <c r="B11" s="1" t="s">
        <v>151</v>
      </c>
      <c r="C11" t="s">
        <v>119</v>
      </c>
      <c r="D11" t="s">
        <v>152</v>
      </c>
      <c r="E11" t="s">
        <v>22</v>
      </c>
      <c r="F11">
        <v>0</v>
      </c>
      <c r="G11">
        <v>0</v>
      </c>
      <c r="M11" t="s">
        <v>153</v>
      </c>
      <c r="N11" t="s">
        <v>132</v>
      </c>
      <c r="O11" t="s">
        <v>17</v>
      </c>
      <c r="Q11" t="s">
        <v>133</v>
      </c>
      <c r="R11" t="b">
        <v>1</v>
      </c>
      <c r="S11" t="b">
        <v>1</v>
      </c>
    </row>
    <row r="12" spans="1:21" x14ac:dyDescent="0.25">
      <c r="A12" t="s">
        <v>117</v>
      </c>
      <c r="B12" s="1" t="s">
        <v>154</v>
      </c>
      <c r="C12" t="s">
        <v>125</v>
      </c>
      <c r="D12" t="s">
        <v>155</v>
      </c>
      <c r="E12" t="s">
        <v>22</v>
      </c>
      <c r="F12">
        <v>0</v>
      </c>
      <c r="G12">
        <v>0</v>
      </c>
      <c r="M12" t="s">
        <v>156</v>
      </c>
      <c r="N12" t="s">
        <v>157</v>
      </c>
      <c r="O12" t="s">
        <v>17</v>
      </c>
      <c r="Q12" t="s">
        <v>133</v>
      </c>
    </row>
    <row r="13" spans="1:21" x14ac:dyDescent="0.25">
      <c r="A13" t="s">
        <v>117</v>
      </c>
      <c r="B13" s="1" t="s">
        <v>158</v>
      </c>
      <c r="C13" t="s">
        <v>125</v>
      </c>
      <c r="D13" t="s">
        <v>22</v>
      </c>
      <c r="E13" s="5" t="s">
        <v>159</v>
      </c>
      <c r="F13">
        <v>0</v>
      </c>
      <c r="G13" s="5">
        <v>-2</v>
      </c>
      <c r="H13" s="5" t="s">
        <v>160</v>
      </c>
      <c r="I13" t="s">
        <v>22</v>
      </c>
      <c r="J13" s="5" t="s">
        <v>161</v>
      </c>
      <c r="K13">
        <v>0</v>
      </c>
      <c r="L13" s="5">
        <v>-2</v>
      </c>
      <c r="M13" t="s">
        <v>17</v>
      </c>
      <c r="N13" t="s">
        <v>17</v>
      </c>
      <c r="O13" t="s">
        <v>162</v>
      </c>
      <c r="P13">
        <v>1.4</v>
      </c>
      <c r="Q13" t="s">
        <v>391</v>
      </c>
    </row>
    <row r="14" spans="1:21" x14ac:dyDescent="0.25">
      <c r="A14" t="s">
        <v>117</v>
      </c>
      <c r="B14" s="1" t="s">
        <v>163</v>
      </c>
      <c r="C14" t="s">
        <v>125</v>
      </c>
      <c r="D14" t="s">
        <v>164</v>
      </c>
      <c r="E14" t="s">
        <v>22</v>
      </c>
      <c r="F14">
        <v>0</v>
      </c>
      <c r="G14">
        <v>0</v>
      </c>
      <c r="M14" t="s">
        <v>165</v>
      </c>
      <c r="N14" t="s">
        <v>166</v>
      </c>
      <c r="O14" t="s">
        <v>17</v>
      </c>
      <c r="Q14" t="s">
        <v>133</v>
      </c>
    </row>
    <row r="15" spans="1:21" x14ac:dyDescent="0.25">
      <c r="A15" t="s">
        <v>117</v>
      </c>
      <c r="B15" s="1" t="s">
        <v>163</v>
      </c>
      <c r="C15" t="s">
        <v>119</v>
      </c>
      <c r="D15" t="s">
        <v>164</v>
      </c>
      <c r="E15" t="s">
        <v>22</v>
      </c>
      <c r="F15">
        <v>0</v>
      </c>
      <c r="G15">
        <v>0</v>
      </c>
      <c r="M15" t="s">
        <v>165</v>
      </c>
      <c r="N15" t="s">
        <v>166</v>
      </c>
      <c r="O15" t="s">
        <v>17</v>
      </c>
      <c r="Q15" t="s">
        <v>133</v>
      </c>
      <c r="R15" t="b">
        <v>1</v>
      </c>
      <c r="S15" t="b">
        <v>1</v>
      </c>
    </row>
    <row r="16" spans="1:21" x14ac:dyDescent="0.25">
      <c r="A16" t="s">
        <v>117</v>
      </c>
      <c r="B16" s="1" t="s">
        <v>167</v>
      </c>
      <c r="C16" t="s">
        <v>125</v>
      </c>
      <c r="D16" t="s">
        <v>168</v>
      </c>
      <c r="E16" t="s">
        <v>22</v>
      </c>
      <c r="F16">
        <v>0</v>
      </c>
      <c r="G16">
        <v>0</v>
      </c>
      <c r="M16" t="s">
        <v>169</v>
      </c>
      <c r="N16" t="s">
        <v>170</v>
      </c>
      <c r="O16" t="s">
        <v>17</v>
      </c>
      <c r="Q16" t="s">
        <v>133</v>
      </c>
    </row>
    <row r="17" spans="1:21" x14ac:dyDescent="0.25">
      <c r="A17" t="s">
        <v>117</v>
      </c>
      <c r="B17" s="1" t="s">
        <v>171</v>
      </c>
      <c r="C17" t="s">
        <v>125</v>
      </c>
      <c r="D17" t="s">
        <v>22</v>
      </c>
      <c r="E17" s="5" t="s">
        <v>30</v>
      </c>
      <c r="F17">
        <v>0</v>
      </c>
      <c r="G17" s="5">
        <v>-2</v>
      </c>
      <c r="H17" s="5" t="s">
        <v>172</v>
      </c>
      <c r="I17" t="s">
        <v>22</v>
      </c>
      <c r="J17" s="5" t="s">
        <v>173</v>
      </c>
      <c r="K17">
        <v>0</v>
      </c>
      <c r="L17" s="5">
        <v>-2</v>
      </c>
      <c r="M17" t="s">
        <v>17</v>
      </c>
      <c r="N17" t="s">
        <v>17</v>
      </c>
      <c r="O17">
        <v>28.52122</v>
      </c>
      <c r="P17">
        <v>33.5</v>
      </c>
      <c r="Q17" t="s">
        <v>392</v>
      </c>
    </row>
    <row r="18" spans="1:21" x14ac:dyDescent="0.25">
      <c r="H18" s="5" t="s">
        <v>31</v>
      </c>
      <c r="I18" t="s">
        <v>22</v>
      </c>
      <c r="J18" s="5" t="s">
        <v>32</v>
      </c>
      <c r="K18">
        <v>0</v>
      </c>
      <c r="L18" s="5">
        <v>-2</v>
      </c>
      <c r="M18" t="s">
        <v>17</v>
      </c>
      <c r="N18" t="s">
        <v>17</v>
      </c>
      <c r="O18" t="s">
        <v>174</v>
      </c>
      <c r="P18">
        <v>8.8000000000000007</v>
      </c>
      <c r="Q18" t="s">
        <v>392</v>
      </c>
    </row>
    <row r="19" spans="1:21" x14ac:dyDescent="0.25">
      <c r="A19" t="s">
        <v>117</v>
      </c>
      <c r="B19" s="1" t="s">
        <v>175</v>
      </c>
      <c r="C19" t="s">
        <v>125</v>
      </c>
      <c r="D19" s="1" t="s">
        <v>175</v>
      </c>
      <c r="E19" s="6" t="s">
        <v>175</v>
      </c>
      <c r="F19" s="1">
        <v>2</v>
      </c>
      <c r="G19" s="6">
        <v>1</v>
      </c>
      <c r="H19" s="1" t="s">
        <v>176</v>
      </c>
      <c r="I19" s="1" t="s">
        <v>176</v>
      </c>
      <c r="J19" s="6" t="s">
        <v>176</v>
      </c>
      <c r="K19" s="1">
        <v>2</v>
      </c>
      <c r="L19" s="6">
        <v>1</v>
      </c>
      <c r="M19" t="s">
        <v>177</v>
      </c>
      <c r="N19" t="s">
        <v>178</v>
      </c>
      <c r="O19" t="s">
        <v>179</v>
      </c>
      <c r="P19">
        <v>5.5</v>
      </c>
      <c r="Q19" t="s">
        <v>393</v>
      </c>
    </row>
    <row r="20" spans="1:21" x14ac:dyDescent="0.25">
      <c r="H20" s="5" t="s">
        <v>180</v>
      </c>
      <c r="I20" t="s">
        <v>22</v>
      </c>
      <c r="J20" s="5" t="s">
        <v>181</v>
      </c>
      <c r="K20">
        <v>0</v>
      </c>
      <c r="L20" s="5">
        <v>-2</v>
      </c>
      <c r="M20" t="s">
        <v>17</v>
      </c>
      <c r="N20" t="s">
        <v>17</v>
      </c>
      <c r="O20" t="s">
        <v>182</v>
      </c>
      <c r="P20">
        <v>2.4</v>
      </c>
      <c r="Q20" t="s">
        <v>381</v>
      </c>
    </row>
    <row r="21" spans="1:21" x14ac:dyDescent="0.25">
      <c r="H21" s="5" t="s">
        <v>183</v>
      </c>
      <c r="I21" t="s">
        <v>22</v>
      </c>
      <c r="J21" s="5" t="s">
        <v>184</v>
      </c>
      <c r="K21">
        <v>0</v>
      </c>
      <c r="L21" s="5">
        <v>-2</v>
      </c>
      <c r="M21" t="s">
        <v>17</v>
      </c>
      <c r="N21" t="s">
        <v>17</v>
      </c>
      <c r="O21" t="s">
        <v>182</v>
      </c>
      <c r="P21">
        <v>2.4</v>
      </c>
      <c r="Q21" t="s">
        <v>381</v>
      </c>
    </row>
    <row r="22" spans="1:21" x14ac:dyDescent="0.25">
      <c r="H22" s="5" t="s">
        <v>185</v>
      </c>
      <c r="I22" t="s">
        <v>22</v>
      </c>
      <c r="J22" s="5" t="s">
        <v>186</v>
      </c>
      <c r="K22">
        <v>0</v>
      </c>
      <c r="L22" s="5">
        <v>-2</v>
      </c>
      <c r="M22" t="s">
        <v>17</v>
      </c>
      <c r="N22" t="s">
        <v>17</v>
      </c>
      <c r="O22" t="s">
        <v>182</v>
      </c>
      <c r="P22">
        <v>2.4</v>
      </c>
      <c r="Q22" t="s">
        <v>381</v>
      </c>
    </row>
    <row r="23" spans="1:21" x14ac:dyDescent="0.25">
      <c r="A23" t="s">
        <v>117</v>
      </c>
      <c r="B23" s="1" t="s">
        <v>175</v>
      </c>
      <c r="C23" t="s">
        <v>119</v>
      </c>
      <c r="D23" s="1" t="s">
        <v>175</v>
      </c>
      <c r="E23" s="6" t="s">
        <v>175</v>
      </c>
      <c r="F23" s="1">
        <v>2</v>
      </c>
      <c r="G23" s="6">
        <v>1</v>
      </c>
      <c r="H23" s="1" t="s">
        <v>176</v>
      </c>
      <c r="I23" s="1" t="s">
        <v>176</v>
      </c>
      <c r="J23" s="6" t="s">
        <v>176</v>
      </c>
      <c r="K23" s="1">
        <v>2</v>
      </c>
      <c r="L23" s="6">
        <v>1</v>
      </c>
      <c r="M23" t="s">
        <v>177</v>
      </c>
      <c r="N23" t="s">
        <v>178</v>
      </c>
      <c r="O23" t="s">
        <v>187</v>
      </c>
      <c r="P23">
        <v>11.1</v>
      </c>
      <c r="Q23" t="s">
        <v>394</v>
      </c>
      <c r="R23" t="b">
        <v>1</v>
      </c>
      <c r="S23" t="b">
        <v>1</v>
      </c>
      <c r="T23" t="b">
        <v>1</v>
      </c>
      <c r="U23" t="b">
        <v>1</v>
      </c>
    </row>
    <row r="24" spans="1:21" x14ac:dyDescent="0.25">
      <c r="A24" t="s">
        <v>117</v>
      </c>
      <c r="B24" s="1" t="s">
        <v>188</v>
      </c>
      <c r="C24" t="s">
        <v>125</v>
      </c>
      <c r="D24" s="1" t="s">
        <v>188</v>
      </c>
      <c r="E24" s="6" t="s">
        <v>188</v>
      </c>
      <c r="F24" s="1">
        <v>2</v>
      </c>
      <c r="G24" s="6">
        <v>1</v>
      </c>
      <c r="H24" s="1" t="s">
        <v>189</v>
      </c>
      <c r="I24" s="1" t="s">
        <v>189</v>
      </c>
      <c r="J24" s="6" t="s">
        <v>189</v>
      </c>
      <c r="K24" s="1">
        <v>2</v>
      </c>
      <c r="L24" s="6">
        <v>1</v>
      </c>
      <c r="M24" t="s">
        <v>190</v>
      </c>
      <c r="N24" t="s">
        <v>191</v>
      </c>
      <c r="O24" t="s">
        <v>192</v>
      </c>
      <c r="P24">
        <v>7.8</v>
      </c>
      <c r="Q24" t="s">
        <v>395</v>
      </c>
      <c r="S24" t="b">
        <v>1</v>
      </c>
      <c r="U24" t="b">
        <v>1</v>
      </c>
    </row>
    <row r="25" spans="1:21" x14ac:dyDescent="0.25">
      <c r="A25" t="s">
        <v>117</v>
      </c>
      <c r="B25" s="1" t="s">
        <v>188</v>
      </c>
      <c r="C25" t="s">
        <v>119</v>
      </c>
      <c r="D25" s="1" t="s">
        <v>188</v>
      </c>
      <c r="E25" s="1" t="s">
        <v>188</v>
      </c>
      <c r="F25" s="1">
        <v>2</v>
      </c>
      <c r="G25" s="1">
        <v>2</v>
      </c>
      <c r="H25" s="1" t="s">
        <v>189</v>
      </c>
      <c r="I25" s="1" t="s">
        <v>189</v>
      </c>
      <c r="J25" s="1" t="s">
        <v>189</v>
      </c>
      <c r="K25" s="1">
        <v>2</v>
      </c>
      <c r="L25" s="1">
        <v>2</v>
      </c>
      <c r="M25" t="s">
        <v>190</v>
      </c>
      <c r="N25" t="s">
        <v>191</v>
      </c>
      <c r="O25" t="s">
        <v>193</v>
      </c>
      <c r="P25">
        <v>15.4</v>
      </c>
      <c r="R25" t="b">
        <v>1</v>
      </c>
      <c r="T25" t="b">
        <v>1</v>
      </c>
    </row>
    <row r="26" spans="1:21" x14ac:dyDescent="0.25">
      <c r="A26" t="s">
        <v>117</v>
      </c>
      <c r="B26" s="1" t="s">
        <v>34</v>
      </c>
      <c r="C26" t="s">
        <v>125</v>
      </c>
      <c r="D26" s="1" t="s">
        <v>34</v>
      </c>
      <c r="E26" s="1" t="s">
        <v>34</v>
      </c>
      <c r="F26" s="1">
        <v>2</v>
      </c>
      <c r="G26" s="1">
        <v>2</v>
      </c>
      <c r="H26" s="1" t="s">
        <v>194</v>
      </c>
      <c r="I26" s="1" t="s">
        <v>194</v>
      </c>
      <c r="J26" s="1" t="s">
        <v>195</v>
      </c>
      <c r="K26" s="1">
        <v>2</v>
      </c>
      <c r="L26" s="1">
        <v>2</v>
      </c>
      <c r="M26" t="s">
        <v>196</v>
      </c>
      <c r="N26" t="s">
        <v>93</v>
      </c>
      <c r="O26" t="s">
        <v>197</v>
      </c>
      <c r="P26">
        <v>17.899999999999999</v>
      </c>
    </row>
    <row r="27" spans="1:21" x14ac:dyDescent="0.25">
      <c r="H27" s="1" t="s">
        <v>35</v>
      </c>
      <c r="I27" s="1" t="s">
        <v>35</v>
      </c>
      <c r="J27" s="1" t="s">
        <v>35</v>
      </c>
      <c r="K27" s="1">
        <v>2</v>
      </c>
      <c r="L27" s="1">
        <v>2</v>
      </c>
      <c r="M27" t="s">
        <v>196</v>
      </c>
      <c r="N27" t="s">
        <v>93</v>
      </c>
      <c r="O27" t="s">
        <v>198</v>
      </c>
      <c r="P27">
        <v>1</v>
      </c>
    </row>
    <row r="28" spans="1:21" x14ac:dyDescent="0.25">
      <c r="A28" t="s">
        <v>117</v>
      </c>
      <c r="B28" s="1" t="s">
        <v>34</v>
      </c>
      <c r="C28" t="s">
        <v>119</v>
      </c>
      <c r="D28" s="1" t="s">
        <v>34</v>
      </c>
      <c r="E28" s="1" t="s">
        <v>34</v>
      </c>
      <c r="F28" s="1">
        <v>2</v>
      </c>
      <c r="G28" s="1">
        <v>2</v>
      </c>
      <c r="H28" s="1" t="s">
        <v>194</v>
      </c>
      <c r="I28" s="1" t="s">
        <v>194</v>
      </c>
      <c r="J28" s="5" t="s">
        <v>22</v>
      </c>
      <c r="K28" s="1">
        <v>2</v>
      </c>
      <c r="L28" s="5">
        <v>-1</v>
      </c>
      <c r="M28" t="s">
        <v>196</v>
      </c>
      <c r="N28" t="s">
        <v>93</v>
      </c>
      <c r="O28" t="s">
        <v>17</v>
      </c>
      <c r="R28" t="b">
        <v>1</v>
      </c>
      <c r="S28" t="b">
        <v>1</v>
      </c>
      <c r="T28" t="b">
        <v>1</v>
      </c>
      <c r="U28" t="b">
        <v>1</v>
      </c>
    </row>
    <row r="29" spans="1:21" x14ac:dyDescent="0.25">
      <c r="H29" s="1" t="s">
        <v>35</v>
      </c>
      <c r="I29" s="1" t="s">
        <v>35</v>
      </c>
      <c r="J29" s="1" t="s">
        <v>35</v>
      </c>
      <c r="K29" s="1">
        <v>2</v>
      </c>
      <c r="L29" s="1">
        <v>2</v>
      </c>
      <c r="M29" t="s">
        <v>196</v>
      </c>
      <c r="N29" t="s">
        <v>93</v>
      </c>
      <c r="O29" t="s">
        <v>199</v>
      </c>
      <c r="P29">
        <v>1.8</v>
      </c>
      <c r="T29" t="b">
        <v>1</v>
      </c>
      <c r="U29" t="b">
        <v>1</v>
      </c>
    </row>
    <row r="30" spans="1:21" x14ac:dyDescent="0.25">
      <c r="A30" t="s">
        <v>117</v>
      </c>
      <c r="B30" s="1" t="s">
        <v>38</v>
      </c>
      <c r="C30" t="s">
        <v>125</v>
      </c>
      <c r="D30" s="1" t="s">
        <v>38</v>
      </c>
      <c r="E30" s="1" t="s">
        <v>38</v>
      </c>
      <c r="F30" s="1">
        <v>2</v>
      </c>
      <c r="G30" s="1">
        <v>2</v>
      </c>
      <c r="H30" s="1" t="s">
        <v>39</v>
      </c>
      <c r="I30" s="1" t="s">
        <v>39</v>
      </c>
      <c r="J30" s="1" t="s">
        <v>39</v>
      </c>
      <c r="K30" s="1">
        <v>2</v>
      </c>
      <c r="L30" s="1">
        <v>2</v>
      </c>
      <c r="M30" t="s">
        <v>169</v>
      </c>
      <c r="N30" t="s">
        <v>200</v>
      </c>
      <c r="O30" t="s">
        <v>201</v>
      </c>
      <c r="P30">
        <v>15.3</v>
      </c>
    </row>
    <row r="31" spans="1:21" x14ac:dyDescent="0.25">
      <c r="H31" s="1" t="s">
        <v>202</v>
      </c>
      <c r="I31" s="5" t="s">
        <v>22</v>
      </c>
      <c r="J31" s="1" t="s">
        <v>202</v>
      </c>
      <c r="K31" s="5">
        <v>-1</v>
      </c>
      <c r="L31" s="1">
        <v>2</v>
      </c>
      <c r="M31" t="s">
        <v>114</v>
      </c>
      <c r="N31" t="s">
        <v>17</v>
      </c>
      <c r="O31" t="s">
        <v>203</v>
      </c>
      <c r="P31">
        <v>2.6</v>
      </c>
      <c r="Q31" t="s">
        <v>396</v>
      </c>
    </row>
    <row r="32" spans="1:21" x14ac:dyDescent="0.25">
      <c r="A32" t="s">
        <v>117</v>
      </c>
      <c r="B32" s="1" t="s">
        <v>38</v>
      </c>
      <c r="C32" t="s">
        <v>119</v>
      </c>
      <c r="D32" s="1" t="s">
        <v>38</v>
      </c>
      <c r="E32" s="1" t="s">
        <v>38</v>
      </c>
      <c r="F32" s="1">
        <v>2</v>
      </c>
      <c r="G32" s="1">
        <v>2</v>
      </c>
      <c r="H32" s="1" t="s">
        <v>39</v>
      </c>
      <c r="I32" s="1" t="s">
        <v>39</v>
      </c>
      <c r="J32" s="1" t="s">
        <v>39</v>
      </c>
      <c r="K32" s="1">
        <v>2</v>
      </c>
      <c r="L32" s="1">
        <v>2</v>
      </c>
      <c r="M32" t="s">
        <v>169</v>
      </c>
      <c r="N32" t="s">
        <v>200</v>
      </c>
      <c r="O32" t="s">
        <v>204</v>
      </c>
      <c r="P32">
        <v>32</v>
      </c>
      <c r="R32" t="b">
        <v>1</v>
      </c>
      <c r="S32" t="b">
        <v>1</v>
      </c>
      <c r="T32" t="b">
        <v>1</v>
      </c>
      <c r="U32" t="b">
        <v>1</v>
      </c>
    </row>
    <row r="33" spans="1:21" x14ac:dyDescent="0.25">
      <c r="A33" t="s">
        <v>117</v>
      </c>
      <c r="B33" s="1" t="s">
        <v>205</v>
      </c>
      <c r="C33" t="s">
        <v>125</v>
      </c>
      <c r="D33" t="s">
        <v>206</v>
      </c>
      <c r="E33" t="s">
        <v>22</v>
      </c>
      <c r="F33">
        <v>0</v>
      </c>
      <c r="G33">
        <v>0</v>
      </c>
      <c r="M33" t="s">
        <v>207</v>
      </c>
      <c r="N33" t="s">
        <v>208</v>
      </c>
      <c r="O33" t="s">
        <v>17</v>
      </c>
      <c r="Q33" t="s">
        <v>133</v>
      </c>
      <c r="S33" t="b">
        <v>1</v>
      </c>
    </row>
    <row r="34" spans="1:21" x14ac:dyDescent="0.25">
      <c r="A34" t="s">
        <v>117</v>
      </c>
      <c r="B34" s="1" t="s">
        <v>205</v>
      </c>
      <c r="C34" t="s">
        <v>119</v>
      </c>
      <c r="D34" t="s">
        <v>22</v>
      </c>
      <c r="E34" s="5" t="s">
        <v>206</v>
      </c>
      <c r="F34">
        <v>0</v>
      </c>
      <c r="G34" s="5">
        <v>-2</v>
      </c>
      <c r="H34" s="5" t="s">
        <v>209</v>
      </c>
      <c r="I34" t="s">
        <v>22</v>
      </c>
      <c r="J34" s="5" t="s">
        <v>210</v>
      </c>
      <c r="K34">
        <v>0</v>
      </c>
      <c r="L34" s="5">
        <v>-2</v>
      </c>
      <c r="M34" t="s">
        <v>17</v>
      </c>
      <c r="N34" t="s">
        <v>17</v>
      </c>
      <c r="O34" t="s">
        <v>211</v>
      </c>
      <c r="P34">
        <v>100</v>
      </c>
      <c r="Q34" t="s">
        <v>381</v>
      </c>
      <c r="R34" t="b">
        <v>1</v>
      </c>
    </row>
    <row r="35" spans="1:21" x14ac:dyDescent="0.25">
      <c r="A35" t="s">
        <v>117</v>
      </c>
      <c r="B35" s="1" t="s">
        <v>212</v>
      </c>
      <c r="C35" t="s">
        <v>125</v>
      </c>
      <c r="D35" t="s">
        <v>43</v>
      </c>
      <c r="E35" t="s">
        <v>22</v>
      </c>
      <c r="F35">
        <v>0</v>
      </c>
      <c r="G35">
        <v>0</v>
      </c>
      <c r="M35" t="s">
        <v>92</v>
      </c>
      <c r="N35" t="s">
        <v>213</v>
      </c>
      <c r="O35" t="s">
        <v>17</v>
      </c>
      <c r="Q35" t="s">
        <v>133</v>
      </c>
    </row>
    <row r="36" spans="1:21" x14ac:dyDescent="0.25">
      <c r="A36" t="s">
        <v>117</v>
      </c>
      <c r="B36" s="1" t="s">
        <v>214</v>
      </c>
      <c r="C36" t="s">
        <v>119</v>
      </c>
      <c r="D36" t="s">
        <v>215</v>
      </c>
      <c r="E36" t="s">
        <v>22</v>
      </c>
      <c r="F36">
        <v>0</v>
      </c>
      <c r="G36">
        <v>0</v>
      </c>
      <c r="M36" t="s">
        <v>216</v>
      </c>
      <c r="N36" t="s">
        <v>217</v>
      </c>
      <c r="O36" t="s">
        <v>17</v>
      </c>
      <c r="Q36" t="s">
        <v>133</v>
      </c>
    </row>
    <row r="37" spans="1:21" x14ac:dyDescent="0.25">
      <c r="A37" t="s">
        <v>117</v>
      </c>
      <c r="B37" s="1" t="s">
        <v>218</v>
      </c>
      <c r="C37" t="s">
        <v>125</v>
      </c>
      <c r="D37" s="5" t="s">
        <v>22</v>
      </c>
      <c r="E37" s="1" t="s">
        <v>218</v>
      </c>
      <c r="F37" s="5">
        <v>-1</v>
      </c>
      <c r="G37" s="1">
        <v>2</v>
      </c>
      <c r="H37" s="1" t="s">
        <v>219</v>
      </c>
      <c r="I37" s="5" t="s">
        <v>22</v>
      </c>
      <c r="J37" s="1" t="s">
        <v>220</v>
      </c>
      <c r="K37" s="5">
        <v>-1</v>
      </c>
      <c r="L37" s="1">
        <v>2</v>
      </c>
      <c r="M37" t="s">
        <v>221</v>
      </c>
      <c r="N37" t="s">
        <v>17</v>
      </c>
      <c r="O37" s="10">
        <v>29.35632</v>
      </c>
      <c r="P37">
        <v>3.5</v>
      </c>
    </row>
    <row r="38" spans="1:21" x14ac:dyDescent="0.25">
      <c r="H38" s="5" t="s">
        <v>222</v>
      </c>
      <c r="I38" t="s">
        <v>22</v>
      </c>
      <c r="J38" s="5" t="s">
        <v>223</v>
      </c>
      <c r="K38">
        <v>0</v>
      </c>
      <c r="L38" s="5">
        <v>-2</v>
      </c>
      <c r="M38" t="s">
        <v>17</v>
      </c>
      <c r="N38" t="s">
        <v>17</v>
      </c>
      <c r="O38" t="s">
        <v>224</v>
      </c>
      <c r="P38">
        <v>1</v>
      </c>
      <c r="Q38" t="s">
        <v>397</v>
      </c>
    </row>
    <row r="39" spans="1:21" x14ac:dyDescent="0.25">
      <c r="A39" t="s">
        <v>117</v>
      </c>
      <c r="B39" s="1" t="s">
        <v>48</v>
      </c>
      <c r="C39" t="s">
        <v>125</v>
      </c>
      <c r="D39" s="1" t="s">
        <v>48</v>
      </c>
      <c r="E39" s="6" t="s">
        <v>48</v>
      </c>
      <c r="F39" s="1">
        <v>2</v>
      </c>
      <c r="G39" s="6">
        <v>1</v>
      </c>
      <c r="H39" s="1" t="s">
        <v>225</v>
      </c>
      <c r="I39" s="1" t="s">
        <v>225</v>
      </c>
      <c r="J39" s="6" t="s">
        <v>49</v>
      </c>
      <c r="K39" s="1">
        <v>2</v>
      </c>
      <c r="L39" s="6">
        <v>1</v>
      </c>
      <c r="M39" t="s">
        <v>226</v>
      </c>
      <c r="N39" t="s">
        <v>227</v>
      </c>
      <c r="O39" t="s">
        <v>228</v>
      </c>
      <c r="P39">
        <v>21.9</v>
      </c>
      <c r="Q39" t="s">
        <v>398</v>
      </c>
      <c r="S39" t="b">
        <v>1</v>
      </c>
      <c r="U39" t="b">
        <v>1</v>
      </c>
    </row>
    <row r="40" spans="1:21" x14ac:dyDescent="0.25">
      <c r="A40" t="s">
        <v>117</v>
      </c>
      <c r="B40" s="1" t="s">
        <v>48</v>
      </c>
      <c r="C40" t="s">
        <v>119</v>
      </c>
      <c r="D40" s="1" t="s">
        <v>48</v>
      </c>
      <c r="E40" s="1" t="s">
        <v>48</v>
      </c>
      <c r="F40" s="1">
        <v>2</v>
      </c>
      <c r="G40" s="1">
        <v>2</v>
      </c>
      <c r="H40" s="1" t="s">
        <v>225</v>
      </c>
      <c r="I40" s="1" t="s">
        <v>225</v>
      </c>
      <c r="J40" s="1" t="s">
        <v>49</v>
      </c>
      <c r="K40" s="1">
        <v>2</v>
      </c>
      <c r="L40" s="1">
        <v>2</v>
      </c>
      <c r="M40" t="s">
        <v>226</v>
      </c>
      <c r="N40" t="s">
        <v>227</v>
      </c>
      <c r="O40" t="s">
        <v>229</v>
      </c>
      <c r="P40">
        <v>46.4</v>
      </c>
      <c r="R40" t="b">
        <v>1</v>
      </c>
      <c r="T40" t="b">
        <v>1</v>
      </c>
    </row>
    <row r="41" spans="1:21" x14ac:dyDescent="0.25">
      <c r="A41" t="s">
        <v>117</v>
      </c>
      <c r="B41" s="1" t="s">
        <v>50</v>
      </c>
      <c r="C41" t="s">
        <v>125</v>
      </c>
      <c r="D41" s="1" t="s">
        <v>50</v>
      </c>
      <c r="E41" s="6" t="s">
        <v>50</v>
      </c>
      <c r="F41" s="1">
        <v>2</v>
      </c>
      <c r="G41" s="6">
        <v>1</v>
      </c>
      <c r="H41" s="1" t="s">
        <v>51</v>
      </c>
      <c r="I41" s="1" t="s">
        <v>51</v>
      </c>
      <c r="J41" s="6" t="s">
        <v>51</v>
      </c>
      <c r="K41" s="1">
        <v>2</v>
      </c>
      <c r="L41" s="6">
        <v>1</v>
      </c>
      <c r="M41" t="s">
        <v>230</v>
      </c>
      <c r="N41" t="s">
        <v>231</v>
      </c>
      <c r="O41" t="s">
        <v>232</v>
      </c>
      <c r="P41">
        <v>16.7</v>
      </c>
      <c r="Q41" t="s">
        <v>399</v>
      </c>
      <c r="S41" t="b">
        <v>1</v>
      </c>
      <c r="U41" t="b">
        <v>1</v>
      </c>
    </row>
    <row r="42" spans="1:21" x14ac:dyDescent="0.25">
      <c r="A42" t="s">
        <v>117</v>
      </c>
      <c r="B42" s="1" t="s">
        <v>50</v>
      </c>
      <c r="C42" t="s">
        <v>119</v>
      </c>
      <c r="D42" s="1" t="s">
        <v>50</v>
      </c>
      <c r="E42" s="1" t="s">
        <v>50</v>
      </c>
      <c r="F42" s="1">
        <v>2</v>
      </c>
      <c r="G42" s="1">
        <v>2</v>
      </c>
      <c r="H42" s="1" t="s">
        <v>51</v>
      </c>
      <c r="I42" s="1" t="s">
        <v>51</v>
      </c>
      <c r="J42" s="1" t="s">
        <v>51</v>
      </c>
      <c r="K42" s="1">
        <v>2</v>
      </c>
      <c r="L42" s="1">
        <v>2</v>
      </c>
      <c r="M42" t="s">
        <v>230</v>
      </c>
      <c r="N42" t="s">
        <v>231</v>
      </c>
      <c r="O42" t="s">
        <v>233</v>
      </c>
      <c r="P42">
        <v>32</v>
      </c>
      <c r="R42" t="b">
        <v>1</v>
      </c>
      <c r="T42" t="b">
        <v>1</v>
      </c>
    </row>
    <row r="43" spans="1:21" x14ac:dyDescent="0.25">
      <c r="A43" t="s">
        <v>117</v>
      </c>
      <c r="B43" s="1" t="s">
        <v>55</v>
      </c>
      <c r="C43" t="s">
        <v>125</v>
      </c>
      <c r="D43" s="1" t="s">
        <v>55</v>
      </c>
      <c r="E43" s="6" t="s">
        <v>55</v>
      </c>
      <c r="F43" s="1">
        <v>2</v>
      </c>
      <c r="G43" s="6">
        <v>1</v>
      </c>
      <c r="H43" s="1" t="s">
        <v>56</v>
      </c>
      <c r="I43" s="1" t="s">
        <v>56</v>
      </c>
      <c r="J43" s="1" t="s">
        <v>56</v>
      </c>
      <c r="K43" s="1">
        <v>2</v>
      </c>
      <c r="L43" s="1">
        <v>2</v>
      </c>
      <c r="M43" t="s">
        <v>234</v>
      </c>
      <c r="N43" t="s">
        <v>235</v>
      </c>
      <c r="O43" t="s">
        <v>236</v>
      </c>
      <c r="P43">
        <v>1.9</v>
      </c>
    </row>
    <row r="44" spans="1:21" x14ac:dyDescent="0.25">
      <c r="H44" s="11" t="s">
        <v>405</v>
      </c>
      <c r="I44" t="s">
        <v>22</v>
      </c>
      <c r="J44" s="5" t="s">
        <v>237</v>
      </c>
      <c r="K44">
        <v>0</v>
      </c>
      <c r="L44" s="5">
        <v>-2</v>
      </c>
      <c r="M44" t="s">
        <v>234</v>
      </c>
      <c r="N44" t="s">
        <v>17</v>
      </c>
      <c r="O44" s="10">
        <v>24.668230000000001</v>
      </c>
      <c r="P44">
        <v>13.1</v>
      </c>
      <c r="Q44" t="s">
        <v>400</v>
      </c>
    </row>
    <row r="45" spans="1:21" x14ac:dyDescent="0.25">
      <c r="A45" t="s">
        <v>117</v>
      </c>
      <c r="B45" s="1" t="s">
        <v>107</v>
      </c>
      <c r="C45" t="s">
        <v>125</v>
      </c>
      <c r="D45" s="1" t="s">
        <v>107</v>
      </c>
      <c r="E45" s="1" t="s">
        <v>107</v>
      </c>
      <c r="F45" s="1">
        <v>2</v>
      </c>
      <c r="G45" s="1">
        <v>2</v>
      </c>
      <c r="H45" s="1" t="s">
        <v>108</v>
      </c>
      <c r="I45" s="1" t="s">
        <v>108</v>
      </c>
      <c r="J45" s="1" t="s">
        <v>109</v>
      </c>
      <c r="K45" s="1">
        <v>2</v>
      </c>
      <c r="L45" s="1">
        <v>2</v>
      </c>
      <c r="M45" t="s">
        <v>238</v>
      </c>
      <c r="N45" t="s">
        <v>239</v>
      </c>
      <c r="O45" t="s">
        <v>240</v>
      </c>
      <c r="P45">
        <v>33.299999999999997</v>
      </c>
    </row>
    <row r="46" spans="1:21" x14ac:dyDescent="0.25">
      <c r="H46" s="1" t="s">
        <v>241</v>
      </c>
      <c r="I46" s="1" t="s">
        <v>241</v>
      </c>
      <c r="J46" s="1" t="s">
        <v>241</v>
      </c>
      <c r="K46" s="1">
        <v>2</v>
      </c>
      <c r="L46" s="1">
        <v>2</v>
      </c>
      <c r="M46" t="s">
        <v>238</v>
      </c>
      <c r="N46" t="s">
        <v>239</v>
      </c>
      <c r="O46" t="s">
        <v>242</v>
      </c>
      <c r="P46">
        <v>2.8</v>
      </c>
    </row>
    <row r="47" spans="1:21" x14ac:dyDescent="0.25">
      <c r="A47" t="s">
        <v>117</v>
      </c>
      <c r="B47" s="1" t="s">
        <v>107</v>
      </c>
      <c r="C47" t="s">
        <v>119</v>
      </c>
      <c r="D47" s="1" t="s">
        <v>107</v>
      </c>
      <c r="E47" s="6" t="s">
        <v>107</v>
      </c>
      <c r="F47" s="1">
        <v>2</v>
      </c>
      <c r="G47" s="6">
        <v>1</v>
      </c>
      <c r="H47" s="1" t="s">
        <v>108</v>
      </c>
      <c r="I47" s="1" t="s">
        <v>243</v>
      </c>
      <c r="J47" s="6" t="s">
        <v>108</v>
      </c>
      <c r="K47" s="1">
        <v>2</v>
      </c>
      <c r="L47" s="6">
        <v>1</v>
      </c>
      <c r="M47" t="s">
        <v>238</v>
      </c>
      <c r="N47" t="s">
        <v>239</v>
      </c>
      <c r="O47" t="s">
        <v>244</v>
      </c>
      <c r="P47">
        <v>62.3</v>
      </c>
      <c r="Q47" t="s">
        <v>401</v>
      </c>
      <c r="R47" t="b">
        <v>1</v>
      </c>
      <c r="S47" t="b">
        <v>1</v>
      </c>
      <c r="T47" t="b">
        <v>1</v>
      </c>
      <c r="U47" t="b">
        <v>1</v>
      </c>
    </row>
    <row r="48" spans="1:21" x14ac:dyDescent="0.25">
      <c r="A48" t="s">
        <v>117</v>
      </c>
      <c r="B48" s="1" t="s">
        <v>245</v>
      </c>
      <c r="C48" t="s">
        <v>125</v>
      </c>
      <c r="D48" t="s">
        <v>246</v>
      </c>
      <c r="E48" t="s">
        <v>22</v>
      </c>
      <c r="F48">
        <v>0</v>
      </c>
      <c r="G48">
        <v>0</v>
      </c>
      <c r="M48" t="s">
        <v>234</v>
      </c>
      <c r="N48" t="s">
        <v>247</v>
      </c>
      <c r="O48" t="s">
        <v>17</v>
      </c>
      <c r="Q48" t="s">
        <v>133</v>
      </c>
    </row>
    <row r="49" spans="1:21" x14ac:dyDescent="0.25">
      <c r="A49" t="s">
        <v>117</v>
      </c>
      <c r="B49" s="1" t="s">
        <v>248</v>
      </c>
      <c r="C49" t="s">
        <v>125</v>
      </c>
      <c r="D49" t="s">
        <v>249</v>
      </c>
      <c r="E49" t="s">
        <v>22</v>
      </c>
      <c r="F49">
        <v>0</v>
      </c>
      <c r="G49">
        <v>0</v>
      </c>
      <c r="M49" t="s">
        <v>250</v>
      </c>
      <c r="N49" t="s">
        <v>251</v>
      </c>
      <c r="O49" t="s">
        <v>17</v>
      </c>
      <c r="Q49" t="s">
        <v>133</v>
      </c>
    </row>
    <row r="50" spans="1:21" x14ac:dyDescent="0.25">
      <c r="A50" t="s">
        <v>117</v>
      </c>
      <c r="B50" s="1" t="s">
        <v>252</v>
      </c>
      <c r="C50" t="s">
        <v>119</v>
      </c>
      <c r="D50" t="s">
        <v>253</v>
      </c>
      <c r="E50" t="s">
        <v>22</v>
      </c>
      <c r="F50">
        <v>0</v>
      </c>
      <c r="G50">
        <v>0</v>
      </c>
      <c r="M50" t="s">
        <v>137</v>
      </c>
      <c r="N50" t="s">
        <v>254</v>
      </c>
      <c r="O50" t="s">
        <v>17</v>
      </c>
      <c r="Q50" t="s">
        <v>133</v>
      </c>
    </row>
    <row r="51" spans="1:21" x14ac:dyDescent="0.25">
      <c r="A51" t="s">
        <v>117</v>
      </c>
      <c r="B51" s="1" t="s">
        <v>255</v>
      </c>
      <c r="C51" t="s">
        <v>125</v>
      </c>
      <c r="D51" t="s">
        <v>256</v>
      </c>
      <c r="E51" s="5" t="s">
        <v>256</v>
      </c>
      <c r="F51">
        <v>0</v>
      </c>
      <c r="G51" s="5">
        <v>-2</v>
      </c>
      <c r="H51" s="5" t="s">
        <v>257</v>
      </c>
      <c r="I51" t="s">
        <v>22</v>
      </c>
      <c r="J51" s="5" t="s">
        <v>258</v>
      </c>
      <c r="K51">
        <v>0</v>
      </c>
      <c r="L51" s="5">
        <v>-2</v>
      </c>
      <c r="M51" t="s">
        <v>17</v>
      </c>
      <c r="N51" t="s">
        <v>17</v>
      </c>
      <c r="O51" s="10">
        <v>26.332370000000001</v>
      </c>
      <c r="P51">
        <v>19.5</v>
      </c>
      <c r="Q51" t="s">
        <v>402</v>
      </c>
    </row>
    <row r="52" spans="1:21" x14ac:dyDescent="0.25">
      <c r="A52" t="s">
        <v>117</v>
      </c>
      <c r="B52" s="1" t="s">
        <v>111</v>
      </c>
      <c r="C52" t="s">
        <v>125</v>
      </c>
      <c r="D52" s="1" t="s">
        <v>111</v>
      </c>
      <c r="E52" s="1" t="s">
        <v>111</v>
      </c>
      <c r="F52" s="1">
        <v>2</v>
      </c>
      <c r="G52" s="1">
        <v>2</v>
      </c>
      <c r="H52" s="1" t="s">
        <v>112</v>
      </c>
      <c r="I52" s="1" t="s">
        <v>259</v>
      </c>
      <c r="J52" s="1" t="s">
        <v>113</v>
      </c>
      <c r="K52" s="1">
        <v>2</v>
      </c>
      <c r="L52" s="1">
        <v>2</v>
      </c>
      <c r="M52" t="s">
        <v>165</v>
      </c>
      <c r="N52" t="s">
        <v>260</v>
      </c>
      <c r="O52" t="s">
        <v>261</v>
      </c>
      <c r="P52">
        <v>40.5</v>
      </c>
    </row>
    <row r="53" spans="1:21" x14ac:dyDescent="0.25">
      <c r="H53" s="1" t="s">
        <v>262</v>
      </c>
      <c r="I53" s="5" t="s">
        <v>22</v>
      </c>
      <c r="J53" s="1" t="s">
        <v>262</v>
      </c>
      <c r="K53" s="5">
        <v>-1</v>
      </c>
      <c r="L53" s="1">
        <v>2</v>
      </c>
      <c r="M53" t="s">
        <v>165</v>
      </c>
      <c r="N53" t="s">
        <v>17</v>
      </c>
      <c r="O53" t="s">
        <v>263</v>
      </c>
      <c r="P53">
        <v>0.4</v>
      </c>
      <c r="Q53" t="s">
        <v>403</v>
      </c>
    </row>
    <row r="54" spans="1:21" x14ac:dyDescent="0.25">
      <c r="H54" s="5" t="s">
        <v>264</v>
      </c>
      <c r="I54" t="s">
        <v>22</v>
      </c>
      <c r="J54" s="5" t="s">
        <v>265</v>
      </c>
      <c r="K54">
        <v>0</v>
      </c>
      <c r="L54" s="5">
        <v>-2</v>
      </c>
      <c r="M54" t="s">
        <v>17</v>
      </c>
      <c r="N54" t="s">
        <v>17</v>
      </c>
      <c r="O54" t="s">
        <v>266</v>
      </c>
      <c r="P54">
        <v>0.4</v>
      </c>
      <c r="Q54" t="s">
        <v>404</v>
      </c>
    </row>
    <row r="55" spans="1:21" x14ac:dyDescent="0.25">
      <c r="A55" t="s">
        <v>117</v>
      </c>
      <c r="B55" s="1" t="s">
        <v>111</v>
      </c>
      <c r="C55" t="s">
        <v>119</v>
      </c>
      <c r="D55" s="1" t="s">
        <v>111</v>
      </c>
      <c r="E55" s="1" t="s">
        <v>111</v>
      </c>
      <c r="F55" s="1">
        <v>2</v>
      </c>
      <c r="G55" s="1">
        <v>2</v>
      </c>
      <c r="H55" s="1" t="s">
        <v>112</v>
      </c>
      <c r="I55" s="1" t="s">
        <v>267</v>
      </c>
      <c r="J55" s="1" t="s">
        <v>113</v>
      </c>
      <c r="K55" s="1">
        <v>2</v>
      </c>
      <c r="L55" s="1">
        <v>2</v>
      </c>
      <c r="M55" t="s">
        <v>165</v>
      </c>
      <c r="N55" t="s">
        <v>260</v>
      </c>
      <c r="O55" t="s">
        <v>268</v>
      </c>
      <c r="P55">
        <v>91.5</v>
      </c>
      <c r="R55" t="b">
        <v>1</v>
      </c>
      <c r="S55" t="b">
        <v>1</v>
      </c>
      <c r="T55" t="b">
        <v>1</v>
      </c>
      <c r="U55" t="b">
        <v>1</v>
      </c>
    </row>
    <row r="56" spans="1:21" x14ac:dyDescent="0.25">
      <c r="A56" t="s">
        <v>117</v>
      </c>
      <c r="B56" s="1" t="s">
        <v>269</v>
      </c>
      <c r="C56" t="s">
        <v>125</v>
      </c>
      <c r="D56" t="s">
        <v>270</v>
      </c>
      <c r="E56" t="s">
        <v>22</v>
      </c>
      <c r="F56">
        <v>0</v>
      </c>
      <c r="G56">
        <v>0</v>
      </c>
      <c r="M56" t="s">
        <v>169</v>
      </c>
      <c r="N56" t="s">
        <v>170</v>
      </c>
      <c r="O56" t="s">
        <v>17</v>
      </c>
      <c r="Q56" t="s">
        <v>133</v>
      </c>
    </row>
    <row r="57" spans="1:21" x14ac:dyDescent="0.25">
      <c r="A57" t="s">
        <v>117</v>
      </c>
      <c r="B57" s="1" t="s">
        <v>269</v>
      </c>
      <c r="C57" t="s">
        <v>119</v>
      </c>
      <c r="D57" t="s">
        <v>270</v>
      </c>
      <c r="E57" t="s">
        <v>22</v>
      </c>
      <c r="F57">
        <v>0</v>
      </c>
      <c r="G57">
        <v>0</v>
      </c>
      <c r="M57" t="s">
        <v>169</v>
      </c>
      <c r="N57" t="s">
        <v>170</v>
      </c>
      <c r="O57" t="s">
        <v>17</v>
      </c>
      <c r="Q57" t="s">
        <v>133</v>
      </c>
      <c r="R57" t="b">
        <v>1</v>
      </c>
      <c r="S57" t="b">
        <v>1</v>
      </c>
    </row>
    <row r="58" spans="1:21" x14ac:dyDescent="0.25">
      <c r="A58" t="s">
        <v>117</v>
      </c>
      <c r="B58" s="1" t="s">
        <v>271</v>
      </c>
      <c r="C58" t="s">
        <v>125</v>
      </c>
      <c r="D58" t="s">
        <v>272</v>
      </c>
      <c r="E58" t="s">
        <v>22</v>
      </c>
      <c r="F58">
        <v>0</v>
      </c>
      <c r="G58">
        <v>0</v>
      </c>
      <c r="M58" t="s">
        <v>52</v>
      </c>
      <c r="N58" t="s">
        <v>251</v>
      </c>
      <c r="O58" t="s">
        <v>17</v>
      </c>
      <c r="Q58" t="s">
        <v>133</v>
      </c>
    </row>
    <row r="59" spans="1:21" x14ac:dyDescent="0.25">
      <c r="A59" t="s">
        <v>117</v>
      </c>
      <c r="B59" s="1" t="s">
        <v>273</v>
      </c>
      <c r="C59" t="s">
        <v>125</v>
      </c>
      <c r="D59" t="s">
        <v>274</v>
      </c>
      <c r="E59" t="s">
        <v>22</v>
      </c>
      <c r="F59">
        <v>0</v>
      </c>
      <c r="G59">
        <v>0</v>
      </c>
      <c r="M59" t="s">
        <v>275</v>
      </c>
      <c r="N59" t="s">
        <v>276</v>
      </c>
      <c r="O59" t="s">
        <v>17</v>
      </c>
      <c r="Q59" t="s">
        <v>133</v>
      </c>
    </row>
    <row r="60" spans="1:21" x14ac:dyDescent="0.25">
      <c r="A60" t="s">
        <v>117</v>
      </c>
      <c r="B60" s="1" t="s">
        <v>277</v>
      </c>
      <c r="C60" t="s">
        <v>119</v>
      </c>
      <c r="D60" t="s">
        <v>278</v>
      </c>
      <c r="E60" t="s">
        <v>22</v>
      </c>
      <c r="F60">
        <v>0</v>
      </c>
      <c r="G60">
        <v>0</v>
      </c>
      <c r="M60" t="s">
        <v>143</v>
      </c>
      <c r="N60" t="s">
        <v>279</v>
      </c>
      <c r="O60" t="s">
        <v>17</v>
      </c>
      <c r="Q60" t="s">
        <v>133</v>
      </c>
    </row>
    <row r="61" spans="1:21" x14ac:dyDescent="0.25">
      <c r="A61" t="s">
        <v>117</v>
      </c>
      <c r="B61" s="1" t="s">
        <v>280</v>
      </c>
      <c r="C61" t="s">
        <v>119</v>
      </c>
      <c r="D61" t="s">
        <v>281</v>
      </c>
      <c r="E61" t="s">
        <v>22</v>
      </c>
      <c r="F61">
        <v>0</v>
      </c>
      <c r="G61">
        <v>0</v>
      </c>
      <c r="M61" t="s">
        <v>114</v>
      </c>
      <c r="N61" t="s">
        <v>282</v>
      </c>
      <c r="O61" t="s">
        <v>17</v>
      </c>
      <c r="Q61" t="s">
        <v>133</v>
      </c>
    </row>
    <row r="64" spans="1:21" ht="15.75" x14ac:dyDescent="0.25">
      <c r="A64" s="3" t="s">
        <v>60</v>
      </c>
      <c r="H64" s="3" t="s">
        <v>61</v>
      </c>
    </row>
    <row r="65" spans="1:11" x14ac:dyDescent="0.25">
      <c r="A65" s="4" t="s">
        <v>62</v>
      </c>
      <c r="F65">
        <f>COUNTIFS(B2:B61,"&lt;&gt;*_*",B2:B61,"&lt;&gt;")</f>
        <v>22</v>
      </c>
      <c r="H65" s="4" t="s">
        <v>62</v>
      </c>
      <c r="K65">
        <f>COUNTIFS(B2:B61,"&lt;&gt;*_*",B2:B61,"&lt;&gt;",R2:R61,"&lt;&gt;TRUE")</f>
        <v>13</v>
      </c>
    </row>
    <row r="66" spans="1:11" x14ac:dyDescent="0.25">
      <c r="A66" s="4" t="s">
        <v>63</v>
      </c>
      <c r="F66">
        <f>COUNTIFS(F2:F61,"&gt;0")</f>
        <v>20</v>
      </c>
      <c r="H66" s="4" t="s">
        <v>63</v>
      </c>
      <c r="K66">
        <f>COUNTIFS(F2:F61,"&gt;0",R2:R61,"&lt;&gt;TRUE")</f>
        <v>11</v>
      </c>
    </row>
    <row r="67" spans="1:11" x14ac:dyDescent="0.25">
      <c r="A67" s="4" t="s">
        <v>64</v>
      </c>
      <c r="F67">
        <f>COUNTIFS(G2:G61,"&gt;0")</f>
        <v>22</v>
      </c>
      <c r="H67" s="4" t="s">
        <v>64</v>
      </c>
      <c r="K67">
        <f>COUNTIFS(G2:G61,"&gt;0",S2:S61,"&lt;&gt;TRUE")</f>
        <v>13</v>
      </c>
    </row>
    <row r="68" spans="1:11" x14ac:dyDescent="0.25">
      <c r="A68" s="4" t="s">
        <v>65</v>
      </c>
      <c r="F68">
        <f>COUNTIFS(F2:F61,"&lt;&gt;-1",F2:F61,"&lt;&gt;0",F2:F61,"&lt;2")</f>
        <v>0</v>
      </c>
      <c r="H68" s="4" t="s">
        <v>65</v>
      </c>
      <c r="K68">
        <f>COUNTIFS(F2:F61,"&lt;&gt;-1",F2:F61,"&lt;&gt;0",F2:F61,"&lt;2",R2:R61,"&lt;&gt;TRUE")</f>
        <v>0</v>
      </c>
    </row>
    <row r="69" spans="1:11" x14ac:dyDescent="0.25">
      <c r="A69" s="4" t="s">
        <v>66</v>
      </c>
      <c r="F69">
        <f>COUNTIFS(G2:G61,"&lt;&gt;-1",G2:G61,"&lt;&gt;0",G2:G61,"&lt;2")</f>
        <v>13</v>
      </c>
      <c r="H69" s="4" t="s">
        <v>66</v>
      </c>
      <c r="K69">
        <f>COUNTIFS(G2:G61,"&lt;&gt;-1",G2:G61,"&lt;&gt;0",G2:G61,"&lt;2",S2:S61,"&lt;&gt;TRUE")</f>
        <v>8</v>
      </c>
    </row>
    <row r="70" spans="1:11" x14ac:dyDescent="0.25">
      <c r="A70" s="4" t="s">
        <v>67</v>
      </c>
      <c r="F70">
        <f>COUNTIFS(F2:F61,"=-1")+COUNTIFS(F2:F61,"=-3")</f>
        <v>2</v>
      </c>
      <c r="H70" s="4" t="s">
        <v>67</v>
      </c>
      <c r="K70">
        <f>COUNTIFS(F2:F61,"=-1",R2:R61,"&lt;&gt;TRUE")+COUNTIFS(F2:F61,"=-3",R2:R61,"&lt;&gt;TRUE")</f>
        <v>2</v>
      </c>
    </row>
    <row r="71" spans="1:11" x14ac:dyDescent="0.25">
      <c r="A71" s="4" t="s">
        <v>68</v>
      </c>
      <c r="F71">
        <f>COUNTIFS(G2:G61,"=-1")+COUNTIFS(G2:G61,"=-3")</f>
        <v>0</v>
      </c>
      <c r="H71" s="4" t="s">
        <v>68</v>
      </c>
      <c r="K71">
        <f>COUNTIFS(G2:G61,"=-1",S2:S61,"&lt;&gt;TRUE")+COUNTIFS(G2:G61,"=-3",S2:S61,"&lt;&gt;TRUE")</f>
        <v>0</v>
      </c>
    </row>
    <row r="72" spans="1:11" x14ac:dyDescent="0.25">
      <c r="A72" s="4" t="s">
        <v>69</v>
      </c>
      <c r="F72" s="8">
        <f>F66/F65</f>
        <v>0.90909090909090906</v>
      </c>
      <c r="H72" s="4" t="s">
        <v>69</v>
      </c>
      <c r="K72" s="8">
        <f>K66/K65</f>
        <v>0.84615384615384615</v>
      </c>
    </row>
    <row r="73" spans="1:11" x14ac:dyDescent="0.25">
      <c r="A73" s="4" t="s">
        <v>70</v>
      </c>
      <c r="F73" s="8">
        <f>F67/F65</f>
        <v>1</v>
      </c>
      <c r="H73" s="4" t="s">
        <v>71</v>
      </c>
      <c r="K73" s="8">
        <f>K67/K65</f>
        <v>1</v>
      </c>
    </row>
    <row r="74" spans="1:11" x14ac:dyDescent="0.25">
      <c r="A74" s="4" t="s">
        <v>72</v>
      </c>
      <c r="F74" s="8">
        <f>F66/(F66+F68)</f>
        <v>1</v>
      </c>
      <c r="H74" s="4" t="s">
        <v>72</v>
      </c>
      <c r="K74" s="8">
        <f>K66/(K66+K68)</f>
        <v>1</v>
      </c>
    </row>
    <row r="75" spans="1:11" x14ac:dyDescent="0.25">
      <c r="A75" s="4" t="s">
        <v>73</v>
      </c>
      <c r="F75" s="8">
        <f>F67/(F67+F69)</f>
        <v>0.62857142857142856</v>
      </c>
      <c r="H75" s="4" t="s">
        <v>73</v>
      </c>
      <c r="K75" s="8">
        <f>K67/(K67+K69)</f>
        <v>0.61904761904761907</v>
      </c>
    </row>
    <row r="78" spans="1:11" ht="15.75" x14ac:dyDescent="0.25">
      <c r="A78" s="3" t="s">
        <v>74</v>
      </c>
      <c r="H78" s="3" t="s">
        <v>75</v>
      </c>
    </row>
    <row r="79" spans="1:11" x14ac:dyDescent="0.25">
      <c r="A79" s="4" t="s">
        <v>62</v>
      </c>
      <c r="F79">
        <f>COUNTIFS(H2:H61,"&lt;&gt;*_FP",H2:H61,"&lt;&gt;",H2:H61,"&lt;&gt;no structure")</f>
        <v>27</v>
      </c>
      <c r="H79" s="4" t="s">
        <v>62</v>
      </c>
      <c r="K79">
        <f>COUNTIFS(H2:H61,"&lt;&gt;*_FP",H2:H61,"&lt;&gt;",H2:H61,"&lt;&gt;no structure",T2:T61,"&lt;&gt;TRUE")</f>
        <v>17</v>
      </c>
    </row>
    <row r="80" spans="1:11" x14ac:dyDescent="0.25">
      <c r="A80" s="4" t="s">
        <v>63</v>
      </c>
      <c r="F80">
        <f>COUNTIFS(K2:K61,"&gt;0")</f>
        <v>23</v>
      </c>
      <c r="H80" s="4" t="s">
        <v>63</v>
      </c>
      <c r="K80">
        <f>COUNTIFS(K2:K61,"&gt;0",T2:T61,"&lt;&gt;TRUE")</f>
        <v>13</v>
      </c>
    </row>
    <row r="81" spans="1:11" x14ac:dyDescent="0.25">
      <c r="A81" s="4" t="s">
        <v>64</v>
      </c>
      <c r="F81">
        <f>COUNTIFS(L2:L61,"&gt;0")</f>
        <v>26</v>
      </c>
      <c r="H81" s="4" t="s">
        <v>64</v>
      </c>
      <c r="K81">
        <f>COUNTIFS(L2:L61,"&gt;0",U2:U61,"&lt;&gt;TRUE")</f>
        <v>17</v>
      </c>
    </row>
    <row r="82" spans="1:11" x14ac:dyDescent="0.25">
      <c r="A82" s="4" t="s">
        <v>65</v>
      </c>
      <c r="F82">
        <f>COUNTIFS(K2:K61,"&lt;&gt;-1",K2:K61,"&lt;&gt;0",K2:K61,"&lt;2")</f>
        <v>0</v>
      </c>
      <c r="H82" s="4" t="s">
        <v>65</v>
      </c>
      <c r="K82">
        <f>COUNTIFS(K2:K61,"&lt;&gt;-1",K2:K61,"&lt;&gt;0",K2:K61,"&lt;2",T2:T61,"&lt;&gt;TRUE")</f>
        <v>0</v>
      </c>
    </row>
    <row r="83" spans="1:11" x14ac:dyDescent="0.25">
      <c r="A83" s="4" t="s">
        <v>66</v>
      </c>
      <c r="F83">
        <f>COUNTIFS(L2:L61,"&lt;&gt;-1",L2:L61,"&lt;&gt;0",L2:L61,"&lt;2")</f>
        <v>20</v>
      </c>
      <c r="H83" s="4" t="s">
        <v>66</v>
      </c>
      <c r="K83">
        <f>COUNTIFS(L2:L61,"&lt;&gt;-1",L2:L61,"&lt;&gt;0",L2:L61,"&lt;2",U2:U61,"&lt;&gt;TRUE")</f>
        <v>15</v>
      </c>
    </row>
    <row r="84" spans="1:11" x14ac:dyDescent="0.25">
      <c r="A84" s="4" t="s">
        <v>67</v>
      </c>
      <c r="F84">
        <f>COUNTIFS(K2:K61,"=-1")+COUNTIFS(K2:K61,"=-3")</f>
        <v>4</v>
      </c>
      <c r="H84" s="4" t="s">
        <v>67</v>
      </c>
      <c r="K84">
        <f>COUNTIFS(K2:K61,"=-1",T2:T61,"&lt;&gt;TRUE")+COUNTIFS(K2:K61,"=-3",T2:T61,"&lt;&gt;TRUE")</f>
        <v>4</v>
      </c>
    </row>
    <row r="85" spans="1:11" x14ac:dyDescent="0.25">
      <c r="A85" s="4" t="s">
        <v>68</v>
      </c>
      <c r="F85">
        <f>COUNTIFS(L2:L61,"=-1")+COUNTIFS(L2:L61,"=-3")</f>
        <v>1</v>
      </c>
      <c r="H85" s="4" t="s">
        <v>68</v>
      </c>
      <c r="K85">
        <f>COUNTIFS(L2:L61,"=-1",U2:U61,"&lt;&gt;TRUE")+COUNTIFS(L2:L61,"=-3",U2:U61,"&lt;&gt;TRUE")</f>
        <v>0</v>
      </c>
    </row>
    <row r="86" spans="1:11" x14ac:dyDescent="0.25">
      <c r="A86" s="4" t="s">
        <v>69</v>
      </c>
      <c r="F86" s="8">
        <f>F80/F79</f>
        <v>0.85185185185185186</v>
      </c>
      <c r="H86" s="4" t="s">
        <v>69</v>
      </c>
      <c r="K86" s="8">
        <f>K80/K79</f>
        <v>0.76470588235294112</v>
      </c>
    </row>
    <row r="87" spans="1:11" x14ac:dyDescent="0.25">
      <c r="A87" s="4" t="s">
        <v>70</v>
      </c>
      <c r="F87" s="8">
        <f>F81/F79</f>
        <v>0.96296296296296291</v>
      </c>
      <c r="H87" s="4" t="s">
        <v>71</v>
      </c>
      <c r="K87" s="8">
        <f>K81/K79</f>
        <v>1</v>
      </c>
    </row>
    <row r="88" spans="1:11" x14ac:dyDescent="0.25">
      <c r="A88" s="4" t="s">
        <v>72</v>
      </c>
      <c r="F88" s="8">
        <f>F80/(F80+F82)</f>
        <v>1</v>
      </c>
      <c r="H88" s="4" t="s">
        <v>72</v>
      </c>
      <c r="K88" s="8">
        <f>K80/(K80+K82)</f>
        <v>1</v>
      </c>
    </row>
    <row r="89" spans="1:11" x14ac:dyDescent="0.25">
      <c r="A89" s="4" t="s">
        <v>73</v>
      </c>
      <c r="F89" s="8">
        <f>F81/(F81+F83)</f>
        <v>0.56521739130434778</v>
      </c>
      <c r="H89" s="4" t="s">
        <v>73</v>
      </c>
      <c r="K89" s="8">
        <f>K81/(K81+K83)</f>
        <v>0.53125</v>
      </c>
    </row>
    <row r="92" spans="1:11" ht="15.75" x14ac:dyDescent="0.25">
      <c r="A92" s="3" t="s">
        <v>76</v>
      </c>
    </row>
    <row r="93" spans="1:11" x14ac:dyDescent="0.25">
      <c r="A93" s="1" t="s">
        <v>77</v>
      </c>
    </row>
    <row r="94" spans="1:11" x14ac:dyDescent="0.25">
      <c r="A94" s="5" t="s">
        <v>78</v>
      </c>
    </row>
    <row r="96" spans="1:11" x14ac:dyDescent="0.25">
      <c r="A96" s="1" t="s">
        <v>79</v>
      </c>
    </row>
    <row r="97" spans="1:1" x14ac:dyDescent="0.25">
      <c r="A97" s="6" t="s">
        <v>80</v>
      </c>
    </row>
    <row r="98" spans="1:1" x14ac:dyDescent="0.25">
      <c r="A98" s="7" t="s">
        <v>81</v>
      </c>
    </row>
    <row r="99" spans="1:1" x14ac:dyDescent="0.25">
      <c r="A99" s="5" t="s">
        <v>82</v>
      </c>
    </row>
    <row r="101" spans="1:1" x14ac:dyDescent="0.25">
      <c r="A101" s="4" t="s">
        <v>83</v>
      </c>
    </row>
    <row r="102" spans="1:1" x14ac:dyDescent="0.25">
      <c r="A102" t="s">
        <v>84</v>
      </c>
    </row>
    <row r="103" spans="1:1" x14ac:dyDescent="0.25">
      <c r="A103" t="s">
        <v>85</v>
      </c>
    </row>
    <row r="104" spans="1:1" x14ac:dyDescent="0.25">
      <c r="A104" t="s">
        <v>86</v>
      </c>
    </row>
    <row r="105" spans="1:1" x14ac:dyDescent="0.25">
      <c r="A105" t="s">
        <v>87</v>
      </c>
    </row>
    <row r="106" spans="1:1" x14ac:dyDescent="0.25">
      <c r="A106" t="s">
        <v>88</v>
      </c>
    </row>
    <row r="107" spans="1:1" x14ac:dyDescent="0.25">
      <c r="A107" t="s">
        <v>89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8"/>
  <sheetViews>
    <sheetView topLeftCell="A28" workbookViewId="0">
      <selection activeCell="A2" sqref="A2"/>
    </sheetView>
  </sheetViews>
  <sheetFormatPr baseColWidth="10"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283</v>
      </c>
      <c r="B2" s="1" t="s">
        <v>284</v>
      </c>
      <c r="C2" t="s">
        <v>20</v>
      </c>
      <c r="D2" s="1" t="s">
        <v>284</v>
      </c>
      <c r="E2" s="1" t="s">
        <v>284</v>
      </c>
      <c r="F2" s="1">
        <v>2</v>
      </c>
      <c r="G2" s="1">
        <v>2</v>
      </c>
      <c r="H2" s="1" t="s">
        <v>285</v>
      </c>
      <c r="I2" s="1" t="s">
        <v>285</v>
      </c>
      <c r="J2" s="1" t="s">
        <v>285</v>
      </c>
      <c r="K2" s="1">
        <v>2</v>
      </c>
      <c r="L2" s="1">
        <v>2</v>
      </c>
      <c r="M2" t="s">
        <v>286</v>
      </c>
      <c r="N2" t="s">
        <v>287</v>
      </c>
      <c r="O2" t="s">
        <v>123</v>
      </c>
      <c r="P2">
        <v>70.900000000000006</v>
      </c>
    </row>
    <row r="3" spans="1:21" x14ac:dyDescent="0.25">
      <c r="A3" t="s">
        <v>283</v>
      </c>
      <c r="B3" s="1" t="s">
        <v>288</v>
      </c>
      <c r="C3" t="s">
        <v>20</v>
      </c>
      <c r="D3" t="s">
        <v>134</v>
      </c>
      <c r="E3" t="s">
        <v>22</v>
      </c>
      <c r="F3">
        <v>0</v>
      </c>
      <c r="G3">
        <v>0</v>
      </c>
      <c r="M3" t="s">
        <v>226</v>
      </c>
      <c r="N3" t="s">
        <v>289</v>
      </c>
      <c r="O3" t="s">
        <v>17</v>
      </c>
      <c r="Q3" t="s">
        <v>133</v>
      </c>
    </row>
    <row r="4" spans="1:21" x14ac:dyDescent="0.25">
      <c r="A4" t="s">
        <v>283</v>
      </c>
      <c r="B4" s="1" t="s">
        <v>141</v>
      </c>
      <c r="C4" t="s">
        <v>20</v>
      </c>
      <c r="D4" s="1" t="s">
        <v>141</v>
      </c>
      <c r="E4" s="1" t="s">
        <v>141</v>
      </c>
      <c r="F4" s="1">
        <v>2</v>
      </c>
      <c r="G4" s="1">
        <v>2</v>
      </c>
      <c r="H4" s="1" t="s">
        <v>142</v>
      </c>
      <c r="I4" s="1" t="s">
        <v>290</v>
      </c>
      <c r="J4" s="1" t="s">
        <v>142</v>
      </c>
      <c r="K4" s="1">
        <v>2</v>
      </c>
      <c r="L4" s="1">
        <v>2</v>
      </c>
      <c r="M4" t="s">
        <v>291</v>
      </c>
      <c r="N4" t="s">
        <v>260</v>
      </c>
      <c r="O4" t="s">
        <v>292</v>
      </c>
      <c r="P4">
        <v>5.5</v>
      </c>
    </row>
    <row r="5" spans="1:21" x14ac:dyDescent="0.25">
      <c r="A5" t="s">
        <v>283</v>
      </c>
      <c r="B5" s="1" t="s">
        <v>25</v>
      </c>
      <c r="C5" t="s">
        <v>20</v>
      </c>
      <c r="D5" s="1" t="s">
        <v>25</v>
      </c>
      <c r="E5" s="1" t="s">
        <v>25</v>
      </c>
      <c r="F5" s="1">
        <v>2</v>
      </c>
      <c r="G5" s="1">
        <v>2</v>
      </c>
      <c r="H5" s="1" t="s">
        <v>146</v>
      </c>
      <c r="I5" s="1" t="s">
        <v>146</v>
      </c>
      <c r="J5" s="1" t="s">
        <v>146</v>
      </c>
      <c r="K5" s="1">
        <v>2</v>
      </c>
      <c r="L5" s="1">
        <v>2</v>
      </c>
      <c r="M5" t="s">
        <v>293</v>
      </c>
      <c r="N5" t="s">
        <v>200</v>
      </c>
      <c r="O5" t="s">
        <v>294</v>
      </c>
      <c r="P5">
        <v>8.1999999999999993</v>
      </c>
    </row>
    <row r="6" spans="1:21" x14ac:dyDescent="0.25">
      <c r="A6" t="s">
        <v>283</v>
      </c>
      <c r="B6" s="1" t="s">
        <v>163</v>
      </c>
      <c r="C6" t="s">
        <v>20</v>
      </c>
      <c r="D6" t="s">
        <v>164</v>
      </c>
      <c r="E6" t="s">
        <v>22</v>
      </c>
      <c r="F6">
        <v>0</v>
      </c>
      <c r="G6">
        <v>0</v>
      </c>
      <c r="M6" t="s">
        <v>92</v>
      </c>
      <c r="N6" t="s">
        <v>295</v>
      </c>
      <c r="O6" t="s">
        <v>17</v>
      </c>
      <c r="Q6" t="s">
        <v>133</v>
      </c>
    </row>
    <row r="7" spans="1:21" x14ac:dyDescent="0.25">
      <c r="A7" t="s">
        <v>283</v>
      </c>
      <c r="B7" s="1" t="s">
        <v>175</v>
      </c>
      <c r="C7" t="s">
        <v>20</v>
      </c>
      <c r="D7" s="5" t="s">
        <v>175</v>
      </c>
      <c r="E7" s="1" t="s">
        <v>175</v>
      </c>
      <c r="F7" s="5">
        <v>-3</v>
      </c>
      <c r="G7" s="1">
        <v>2</v>
      </c>
      <c r="H7" s="1" t="s">
        <v>176</v>
      </c>
      <c r="I7" s="5" t="s">
        <v>176</v>
      </c>
      <c r="J7" s="1" t="s">
        <v>176</v>
      </c>
      <c r="K7" s="5">
        <v>-3</v>
      </c>
      <c r="L7" s="1">
        <v>2</v>
      </c>
      <c r="M7" t="s">
        <v>296</v>
      </c>
      <c r="N7" t="s">
        <v>144</v>
      </c>
      <c r="O7" t="s">
        <v>297</v>
      </c>
      <c r="P7">
        <v>5.5</v>
      </c>
      <c r="Q7" t="s">
        <v>406</v>
      </c>
    </row>
    <row r="8" spans="1:21" x14ac:dyDescent="0.25">
      <c r="H8" s="5" t="s">
        <v>407</v>
      </c>
      <c r="I8" s="5" t="s">
        <v>298</v>
      </c>
      <c r="J8" t="s">
        <v>22</v>
      </c>
      <c r="K8" s="5">
        <v>-2</v>
      </c>
      <c r="L8">
        <v>0</v>
      </c>
      <c r="M8" t="s">
        <v>296</v>
      </c>
      <c r="N8" t="s">
        <v>144</v>
      </c>
      <c r="O8" t="s">
        <v>17</v>
      </c>
    </row>
    <row r="9" spans="1:21" x14ac:dyDescent="0.25">
      <c r="A9" t="s">
        <v>283</v>
      </c>
      <c r="B9" s="1" t="s">
        <v>188</v>
      </c>
      <c r="C9" t="s">
        <v>20</v>
      </c>
      <c r="D9" s="1" t="s">
        <v>188</v>
      </c>
      <c r="E9" s="5" t="s">
        <v>22</v>
      </c>
      <c r="F9" s="1">
        <v>2</v>
      </c>
      <c r="G9" s="5">
        <v>-1</v>
      </c>
      <c r="H9" s="1" t="s">
        <v>189</v>
      </c>
      <c r="I9" s="1" t="s">
        <v>299</v>
      </c>
      <c r="J9" s="5" t="s">
        <v>22</v>
      </c>
      <c r="K9" s="1">
        <v>2</v>
      </c>
      <c r="L9" s="5">
        <v>-1</v>
      </c>
      <c r="M9" t="s">
        <v>300</v>
      </c>
      <c r="N9" t="s">
        <v>144</v>
      </c>
      <c r="O9" t="s">
        <v>17</v>
      </c>
    </row>
    <row r="10" spans="1:21" x14ac:dyDescent="0.25">
      <c r="A10" t="s">
        <v>283</v>
      </c>
      <c r="B10" s="1" t="s">
        <v>34</v>
      </c>
      <c r="C10" t="s">
        <v>20</v>
      </c>
      <c r="D10" s="1" t="s">
        <v>34</v>
      </c>
      <c r="E10" s="1" t="s">
        <v>34</v>
      </c>
      <c r="F10" s="1">
        <v>2</v>
      </c>
      <c r="G10" s="1">
        <v>2</v>
      </c>
      <c r="H10" s="1" t="s">
        <v>35</v>
      </c>
      <c r="I10" s="1" t="s">
        <v>301</v>
      </c>
      <c r="J10" s="1" t="s">
        <v>35</v>
      </c>
      <c r="K10" s="1">
        <v>2</v>
      </c>
      <c r="L10" s="1">
        <v>2</v>
      </c>
      <c r="M10" t="s">
        <v>92</v>
      </c>
      <c r="N10" t="s">
        <v>302</v>
      </c>
      <c r="O10" t="s">
        <v>303</v>
      </c>
      <c r="P10">
        <v>1</v>
      </c>
    </row>
    <row r="11" spans="1:21" x14ac:dyDescent="0.25">
      <c r="A11" t="s">
        <v>283</v>
      </c>
      <c r="B11" s="1" t="s">
        <v>38</v>
      </c>
      <c r="C11" t="s">
        <v>20</v>
      </c>
      <c r="D11" s="1" t="s">
        <v>38</v>
      </c>
      <c r="E11" s="1" t="s">
        <v>38</v>
      </c>
      <c r="F11" s="1">
        <v>2</v>
      </c>
      <c r="G11" s="1">
        <v>2</v>
      </c>
      <c r="H11" s="1" t="s">
        <v>39</v>
      </c>
      <c r="I11" s="1" t="s">
        <v>39</v>
      </c>
      <c r="J11" s="1" t="s">
        <v>39</v>
      </c>
      <c r="K11" s="1">
        <v>2</v>
      </c>
      <c r="L11" s="1">
        <v>2</v>
      </c>
      <c r="M11" t="s">
        <v>169</v>
      </c>
      <c r="N11" t="s">
        <v>304</v>
      </c>
      <c r="O11" t="s">
        <v>305</v>
      </c>
      <c r="P11">
        <v>16.3</v>
      </c>
    </row>
    <row r="12" spans="1:21" x14ac:dyDescent="0.25">
      <c r="H12" s="1" t="s">
        <v>202</v>
      </c>
      <c r="I12" s="1" t="s">
        <v>202</v>
      </c>
      <c r="J12" s="1" t="s">
        <v>202</v>
      </c>
      <c r="K12" s="1">
        <v>2</v>
      </c>
      <c r="L12" s="1">
        <v>2</v>
      </c>
      <c r="M12" t="s">
        <v>169</v>
      </c>
      <c r="N12" t="s">
        <v>304</v>
      </c>
      <c r="O12" t="s">
        <v>306</v>
      </c>
      <c r="P12">
        <v>2.2999999999999998</v>
      </c>
    </row>
    <row r="13" spans="1:21" x14ac:dyDescent="0.25">
      <c r="A13" t="s">
        <v>283</v>
      </c>
      <c r="B13" s="1" t="s">
        <v>307</v>
      </c>
      <c r="C13" t="s">
        <v>20</v>
      </c>
      <c r="D13" s="1" t="s">
        <v>307</v>
      </c>
      <c r="E13" s="1" t="s">
        <v>307</v>
      </c>
      <c r="F13" s="1">
        <v>2</v>
      </c>
      <c r="G13" s="1">
        <v>2</v>
      </c>
      <c r="H13" s="1" t="s">
        <v>308</v>
      </c>
      <c r="I13" s="1" t="s">
        <v>309</v>
      </c>
      <c r="J13" s="1" t="s">
        <v>308</v>
      </c>
      <c r="K13" s="1">
        <v>2</v>
      </c>
      <c r="L13" s="1">
        <v>2</v>
      </c>
      <c r="M13" t="s">
        <v>310</v>
      </c>
      <c r="N13" t="s">
        <v>311</v>
      </c>
      <c r="O13" t="s">
        <v>312</v>
      </c>
      <c r="P13">
        <v>8.1999999999999993</v>
      </c>
    </row>
    <row r="14" spans="1:21" x14ac:dyDescent="0.25">
      <c r="H14" s="1" t="s">
        <v>313</v>
      </c>
      <c r="I14" s="5" t="s">
        <v>22</v>
      </c>
      <c r="J14" s="1" t="s">
        <v>314</v>
      </c>
      <c r="K14" s="5">
        <v>-1</v>
      </c>
      <c r="L14" s="1">
        <v>2</v>
      </c>
      <c r="M14" t="s">
        <v>310</v>
      </c>
      <c r="N14" t="s">
        <v>17</v>
      </c>
      <c r="O14" t="s">
        <v>315</v>
      </c>
      <c r="P14">
        <v>4.0999999999999996</v>
      </c>
      <c r="Q14" t="s">
        <v>408</v>
      </c>
    </row>
    <row r="15" spans="1:21" x14ac:dyDescent="0.25">
      <c r="A15" t="s">
        <v>283</v>
      </c>
      <c r="B15" s="1" t="s">
        <v>212</v>
      </c>
      <c r="C15" t="s">
        <v>20</v>
      </c>
      <c r="D15" t="s">
        <v>43</v>
      </c>
      <c r="E15" t="s">
        <v>22</v>
      </c>
      <c r="F15">
        <v>0</v>
      </c>
      <c r="G15">
        <v>0</v>
      </c>
      <c r="M15" t="s">
        <v>196</v>
      </c>
      <c r="N15" t="s">
        <v>316</v>
      </c>
      <c r="O15" t="s">
        <v>17</v>
      </c>
      <c r="Q15" t="s">
        <v>133</v>
      </c>
    </row>
    <row r="16" spans="1:21" x14ac:dyDescent="0.25">
      <c r="A16" t="s">
        <v>283</v>
      </c>
      <c r="B16" s="5" t="s">
        <v>410</v>
      </c>
      <c r="C16" t="s">
        <v>20</v>
      </c>
      <c r="D16" t="s">
        <v>22</v>
      </c>
      <c r="E16" s="5" t="s">
        <v>317</v>
      </c>
      <c r="F16">
        <v>0</v>
      </c>
      <c r="G16" s="5">
        <v>-2</v>
      </c>
      <c r="H16" s="5" t="s">
        <v>411</v>
      </c>
      <c r="I16" t="s">
        <v>22</v>
      </c>
      <c r="J16" s="5" t="s">
        <v>318</v>
      </c>
      <c r="K16">
        <v>0</v>
      </c>
      <c r="L16" s="5">
        <v>-2</v>
      </c>
      <c r="M16" t="s">
        <v>156</v>
      </c>
      <c r="N16" t="s">
        <v>17</v>
      </c>
      <c r="O16" t="s">
        <v>319</v>
      </c>
      <c r="P16">
        <v>2.2000000000000002</v>
      </c>
      <c r="Q16" t="s">
        <v>409</v>
      </c>
    </row>
    <row r="17" spans="1:17" x14ac:dyDescent="0.25">
      <c r="A17" t="s">
        <v>283</v>
      </c>
      <c r="B17" s="1" t="s">
        <v>48</v>
      </c>
      <c r="C17" t="s">
        <v>20</v>
      </c>
      <c r="D17" s="5" t="s">
        <v>22</v>
      </c>
      <c r="E17" s="6" t="s">
        <v>48</v>
      </c>
      <c r="F17" s="5">
        <v>-1</v>
      </c>
      <c r="G17" s="6">
        <v>1</v>
      </c>
      <c r="H17" s="1" t="s">
        <v>225</v>
      </c>
      <c r="I17" s="5" t="s">
        <v>22</v>
      </c>
      <c r="J17" s="6" t="s">
        <v>49</v>
      </c>
      <c r="K17" s="5">
        <v>-1</v>
      </c>
      <c r="L17" s="6">
        <v>1</v>
      </c>
      <c r="M17" t="s">
        <v>190</v>
      </c>
      <c r="N17" t="s">
        <v>17</v>
      </c>
      <c r="O17" t="s">
        <v>412</v>
      </c>
      <c r="P17">
        <v>19.8</v>
      </c>
      <c r="Q17" t="s">
        <v>413</v>
      </c>
    </row>
    <row r="18" spans="1:17" x14ac:dyDescent="0.25">
      <c r="A18" t="s">
        <v>283</v>
      </c>
      <c r="B18" s="1" t="s">
        <v>50</v>
      </c>
      <c r="C18" t="s">
        <v>20</v>
      </c>
      <c r="D18" s="1" t="s">
        <v>50</v>
      </c>
      <c r="E18" s="1" t="s">
        <v>50</v>
      </c>
      <c r="F18" s="1">
        <v>2</v>
      </c>
      <c r="G18" s="1">
        <v>2</v>
      </c>
      <c r="H18" s="1" t="s">
        <v>51</v>
      </c>
      <c r="I18" s="1" t="s">
        <v>51</v>
      </c>
      <c r="J18" s="1" t="s">
        <v>51</v>
      </c>
      <c r="K18" s="1">
        <v>2</v>
      </c>
      <c r="L18" s="1">
        <v>2</v>
      </c>
      <c r="M18" t="s">
        <v>143</v>
      </c>
      <c r="N18" t="s">
        <v>320</v>
      </c>
      <c r="O18" t="s">
        <v>321</v>
      </c>
      <c r="P18">
        <v>16.5</v>
      </c>
    </row>
    <row r="19" spans="1:17" x14ac:dyDescent="0.25">
      <c r="A19" t="s">
        <v>283</v>
      </c>
      <c r="B19" s="1" t="s">
        <v>55</v>
      </c>
      <c r="C19" t="s">
        <v>20</v>
      </c>
      <c r="D19" s="1" t="s">
        <v>55</v>
      </c>
      <c r="E19" s="6" t="s">
        <v>55</v>
      </c>
      <c r="F19" s="1">
        <v>2</v>
      </c>
      <c r="G19" s="6">
        <v>1</v>
      </c>
      <c r="H19" s="1" t="s">
        <v>56</v>
      </c>
      <c r="I19" s="1" t="s">
        <v>56</v>
      </c>
      <c r="J19" s="1" t="s">
        <v>56</v>
      </c>
      <c r="K19" s="1">
        <v>2</v>
      </c>
      <c r="L19" s="1">
        <v>2</v>
      </c>
      <c r="M19" t="s">
        <v>234</v>
      </c>
      <c r="N19" t="s">
        <v>148</v>
      </c>
      <c r="O19" t="s">
        <v>322</v>
      </c>
      <c r="P19">
        <v>1.9</v>
      </c>
    </row>
    <row r="20" spans="1:17" x14ac:dyDescent="0.25">
      <c r="H20" s="5" t="s">
        <v>405</v>
      </c>
      <c r="I20" t="s">
        <v>22</v>
      </c>
      <c r="J20" s="5" t="s">
        <v>237</v>
      </c>
      <c r="K20">
        <v>0</v>
      </c>
      <c r="L20" s="5">
        <v>-2</v>
      </c>
      <c r="M20" t="s">
        <v>234</v>
      </c>
      <c r="N20" t="s">
        <v>17</v>
      </c>
      <c r="O20" s="10">
        <v>24.449480000000001</v>
      </c>
      <c r="P20">
        <v>20.100000000000001</v>
      </c>
      <c r="Q20" t="s">
        <v>414</v>
      </c>
    </row>
    <row r="21" spans="1:17" x14ac:dyDescent="0.25">
      <c r="A21" t="s">
        <v>283</v>
      </c>
      <c r="B21" s="1" t="s">
        <v>107</v>
      </c>
      <c r="C21" t="s">
        <v>20</v>
      </c>
      <c r="D21" s="1" t="s">
        <v>107</v>
      </c>
      <c r="E21" s="1" t="s">
        <v>107</v>
      </c>
      <c r="F21" s="1">
        <v>2</v>
      </c>
      <c r="G21" s="1">
        <v>2</v>
      </c>
      <c r="H21" s="1" t="s">
        <v>108</v>
      </c>
      <c r="I21" s="1" t="s">
        <v>108</v>
      </c>
      <c r="J21" s="1" t="s">
        <v>109</v>
      </c>
      <c r="K21" s="1">
        <v>2</v>
      </c>
      <c r="L21" s="1">
        <v>2</v>
      </c>
      <c r="M21" t="s">
        <v>104</v>
      </c>
      <c r="N21" t="s">
        <v>323</v>
      </c>
      <c r="O21" t="s">
        <v>324</v>
      </c>
      <c r="P21">
        <v>45.4</v>
      </c>
    </row>
    <row r="22" spans="1:17" x14ac:dyDescent="0.25">
      <c r="H22" s="1" t="s">
        <v>241</v>
      </c>
      <c r="I22" s="1" t="s">
        <v>241</v>
      </c>
      <c r="J22" s="1" t="s">
        <v>241</v>
      </c>
      <c r="K22" s="1">
        <v>2</v>
      </c>
      <c r="L22" s="1">
        <v>2</v>
      </c>
      <c r="M22" t="s">
        <v>104</v>
      </c>
      <c r="N22" t="s">
        <v>323</v>
      </c>
      <c r="O22" t="s">
        <v>325</v>
      </c>
      <c r="P22">
        <v>2.8</v>
      </c>
    </row>
    <row r="23" spans="1:17" x14ac:dyDescent="0.25">
      <c r="A23" t="s">
        <v>283</v>
      </c>
      <c r="B23" s="1" t="s">
        <v>326</v>
      </c>
      <c r="C23" t="s">
        <v>20</v>
      </c>
      <c r="D23" s="1" t="s">
        <v>326</v>
      </c>
      <c r="E23" s="1" t="s">
        <v>326</v>
      </c>
      <c r="F23" s="1">
        <v>2</v>
      </c>
      <c r="G23" s="1">
        <v>2</v>
      </c>
      <c r="H23" s="1" t="s">
        <v>327</v>
      </c>
      <c r="I23" s="1" t="s">
        <v>328</v>
      </c>
      <c r="J23" s="1" t="s">
        <v>327</v>
      </c>
      <c r="K23" s="1">
        <v>2</v>
      </c>
      <c r="L23" s="1">
        <v>2</v>
      </c>
      <c r="M23" t="s">
        <v>329</v>
      </c>
      <c r="N23" t="s">
        <v>330</v>
      </c>
      <c r="O23" t="s">
        <v>331</v>
      </c>
      <c r="P23">
        <v>10.6</v>
      </c>
    </row>
    <row r="24" spans="1:17" x14ac:dyDescent="0.25">
      <c r="H24" s="1" t="s">
        <v>332</v>
      </c>
      <c r="I24" s="1" t="s">
        <v>332</v>
      </c>
      <c r="J24" s="5" t="s">
        <v>22</v>
      </c>
      <c r="K24" s="1">
        <v>2</v>
      </c>
      <c r="L24" s="5">
        <v>-1</v>
      </c>
      <c r="M24" t="s">
        <v>329</v>
      </c>
      <c r="N24" t="s">
        <v>330</v>
      </c>
      <c r="O24" t="s">
        <v>17</v>
      </c>
    </row>
    <row r="25" spans="1:17" x14ac:dyDescent="0.25">
      <c r="A25" t="s">
        <v>283</v>
      </c>
      <c r="B25" s="5" t="s">
        <v>333</v>
      </c>
      <c r="C25" t="s">
        <v>20</v>
      </c>
      <c r="D25" s="5" t="s">
        <v>334</v>
      </c>
      <c r="E25" t="s">
        <v>22</v>
      </c>
      <c r="F25" s="5">
        <v>-2</v>
      </c>
      <c r="G25">
        <v>0</v>
      </c>
      <c r="H25" s="5" t="s">
        <v>335</v>
      </c>
      <c r="I25" s="5" t="s">
        <v>336</v>
      </c>
      <c r="J25" t="s">
        <v>17</v>
      </c>
      <c r="K25" s="5">
        <v>-2</v>
      </c>
      <c r="L25">
        <v>0</v>
      </c>
      <c r="M25" t="s">
        <v>17</v>
      </c>
      <c r="N25" t="s">
        <v>337</v>
      </c>
      <c r="O25" t="s">
        <v>17</v>
      </c>
      <c r="Q25" t="s">
        <v>415</v>
      </c>
    </row>
    <row r="26" spans="1:17" x14ac:dyDescent="0.25">
      <c r="A26" t="s">
        <v>283</v>
      </c>
      <c r="B26" s="1" t="s">
        <v>245</v>
      </c>
      <c r="C26" t="s">
        <v>20</v>
      </c>
      <c r="D26" t="s">
        <v>246</v>
      </c>
      <c r="E26" t="s">
        <v>22</v>
      </c>
      <c r="F26">
        <v>0</v>
      </c>
      <c r="G26">
        <v>0</v>
      </c>
      <c r="M26" t="s">
        <v>234</v>
      </c>
      <c r="N26" t="s">
        <v>338</v>
      </c>
      <c r="O26" t="s">
        <v>17</v>
      </c>
      <c r="Q26" t="s">
        <v>133</v>
      </c>
    </row>
    <row r="27" spans="1:17" x14ac:dyDescent="0.25">
      <c r="A27" t="s">
        <v>283</v>
      </c>
      <c r="B27" s="1" t="s">
        <v>248</v>
      </c>
      <c r="C27" t="s">
        <v>20</v>
      </c>
      <c r="D27" t="s">
        <v>249</v>
      </c>
      <c r="E27" t="s">
        <v>22</v>
      </c>
      <c r="F27">
        <v>0</v>
      </c>
      <c r="G27">
        <v>0</v>
      </c>
      <c r="M27" t="s">
        <v>153</v>
      </c>
      <c r="N27" t="s">
        <v>132</v>
      </c>
      <c r="O27" t="s">
        <v>17</v>
      </c>
      <c r="Q27" t="s">
        <v>133</v>
      </c>
    </row>
    <row r="28" spans="1:17" x14ac:dyDescent="0.25">
      <c r="A28" t="s">
        <v>283</v>
      </c>
      <c r="B28" s="5" t="s">
        <v>417</v>
      </c>
      <c r="C28" t="s">
        <v>20</v>
      </c>
      <c r="D28" t="s">
        <v>22</v>
      </c>
      <c r="E28" s="5" t="s">
        <v>253</v>
      </c>
      <c r="F28">
        <v>0</v>
      </c>
      <c r="G28" s="5">
        <v>-2</v>
      </c>
      <c r="H28" s="5" t="s">
        <v>418</v>
      </c>
      <c r="I28" t="s">
        <v>22</v>
      </c>
      <c r="J28" s="5" t="s">
        <v>339</v>
      </c>
      <c r="K28">
        <v>0</v>
      </c>
      <c r="L28" s="5">
        <v>-2</v>
      </c>
      <c r="M28" t="s">
        <v>207</v>
      </c>
      <c r="N28" t="s">
        <v>17</v>
      </c>
      <c r="O28" s="10">
        <v>27.52985</v>
      </c>
      <c r="P28">
        <v>39.200000000000003</v>
      </c>
      <c r="Q28" t="s">
        <v>416</v>
      </c>
    </row>
    <row r="29" spans="1:17" x14ac:dyDescent="0.25">
      <c r="A29" t="s">
        <v>283</v>
      </c>
      <c r="B29" s="1" t="s">
        <v>255</v>
      </c>
      <c r="C29" t="s">
        <v>20</v>
      </c>
      <c r="D29" t="s">
        <v>22</v>
      </c>
      <c r="E29" s="5" t="s">
        <v>256</v>
      </c>
      <c r="F29">
        <v>0</v>
      </c>
      <c r="G29" s="5">
        <v>-2</v>
      </c>
      <c r="H29" s="5" t="s">
        <v>257</v>
      </c>
      <c r="I29" t="s">
        <v>22</v>
      </c>
      <c r="J29" s="5" t="s">
        <v>258</v>
      </c>
      <c r="K29">
        <v>0</v>
      </c>
      <c r="L29" s="5">
        <v>-2</v>
      </c>
      <c r="M29" t="s">
        <v>17</v>
      </c>
      <c r="N29" t="s">
        <v>17</v>
      </c>
      <c r="O29" t="s">
        <v>419</v>
      </c>
      <c r="P29">
        <v>20.2</v>
      </c>
      <c r="Q29" t="s">
        <v>420</v>
      </c>
    </row>
    <row r="30" spans="1:17" x14ac:dyDescent="0.25">
      <c r="A30" t="s">
        <v>283</v>
      </c>
      <c r="B30" s="1" t="s">
        <v>111</v>
      </c>
      <c r="C30" t="s">
        <v>20</v>
      </c>
      <c r="D30" s="1" t="s">
        <v>111</v>
      </c>
      <c r="E30" s="6" t="s">
        <v>111</v>
      </c>
      <c r="F30" s="1">
        <v>2</v>
      </c>
      <c r="G30" s="6">
        <v>1</v>
      </c>
      <c r="H30" s="1" t="s">
        <v>340</v>
      </c>
      <c r="I30" s="1" t="s">
        <v>112</v>
      </c>
      <c r="J30" s="6" t="s">
        <v>113</v>
      </c>
      <c r="K30" s="1">
        <v>2</v>
      </c>
      <c r="L30" s="6">
        <v>1</v>
      </c>
      <c r="M30" t="s">
        <v>341</v>
      </c>
      <c r="N30" t="s">
        <v>342</v>
      </c>
      <c r="O30" t="s">
        <v>343</v>
      </c>
      <c r="P30">
        <v>46.6</v>
      </c>
      <c r="Q30" t="s">
        <v>421</v>
      </c>
    </row>
    <row r="31" spans="1:17" x14ac:dyDescent="0.25">
      <c r="A31" t="s">
        <v>283</v>
      </c>
      <c r="B31" s="1" t="s">
        <v>270</v>
      </c>
      <c r="C31" t="s">
        <v>20</v>
      </c>
      <c r="D31" s="1" t="s">
        <v>270</v>
      </c>
      <c r="E31" s="1" t="s">
        <v>270</v>
      </c>
      <c r="F31" s="1">
        <v>2</v>
      </c>
      <c r="G31" s="1">
        <v>2</v>
      </c>
      <c r="H31" s="1" t="s">
        <v>344</v>
      </c>
      <c r="I31" s="1" t="s">
        <v>344</v>
      </c>
      <c r="J31" s="1" t="s">
        <v>344</v>
      </c>
      <c r="K31" s="1">
        <v>2</v>
      </c>
      <c r="L31" s="1">
        <v>2</v>
      </c>
      <c r="M31" t="s">
        <v>169</v>
      </c>
      <c r="N31" t="s">
        <v>337</v>
      </c>
      <c r="O31" t="s">
        <v>345</v>
      </c>
      <c r="P31">
        <v>5.5</v>
      </c>
    </row>
    <row r="32" spans="1:17" x14ac:dyDescent="0.25">
      <c r="A32" t="s">
        <v>283</v>
      </c>
      <c r="B32" s="1" t="s">
        <v>272</v>
      </c>
      <c r="C32" t="s">
        <v>20</v>
      </c>
      <c r="D32" s="1" t="s">
        <v>272</v>
      </c>
      <c r="E32" s="1" t="s">
        <v>272</v>
      </c>
      <c r="F32" s="1">
        <v>2</v>
      </c>
      <c r="G32" s="1">
        <v>2</v>
      </c>
      <c r="H32" s="1" t="s">
        <v>346</v>
      </c>
      <c r="I32" s="1" t="s">
        <v>346</v>
      </c>
      <c r="J32" s="1" t="s">
        <v>346</v>
      </c>
      <c r="K32" s="1">
        <v>2</v>
      </c>
      <c r="L32" s="1">
        <v>2</v>
      </c>
      <c r="M32" t="s">
        <v>131</v>
      </c>
      <c r="N32" t="s">
        <v>311</v>
      </c>
      <c r="O32" t="s">
        <v>347</v>
      </c>
      <c r="P32">
        <v>8.1999999999999993</v>
      </c>
    </row>
    <row r="35" spans="1:11" ht="15.75" x14ac:dyDescent="0.25">
      <c r="A35" s="3" t="s">
        <v>60</v>
      </c>
      <c r="H35" s="3" t="s">
        <v>61</v>
      </c>
    </row>
    <row r="36" spans="1:11" x14ac:dyDescent="0.25">
      <c r="A36" s="4" t="s">
        <v>62</v>
      </c>
      <c r="F36">
        <f>COUNTIFS(B2:B32,"&lt;&gt;*_*",B2:B32,"&lt;&gt;")</f>
        <v>16</v>
      </c>
      <c r="H36" s="4" t="s">
        <v>62</v>
      </c>
      <c r="K36">
        <f>COUNTIFS(B2:B32,"&lt;&gt;*_*",B2:B32,"&lt;&gt;",R2:R32,"&lt;&gt;TRUE")</f>
        <v>16</v>
      </c>
    </row>
    <row r="37" spans="1:11" x14ac:dyDescent="0.25">
      <c r="A37" s="4" t="s">
        <v>63</v>
      </c>
      <c r="F37">
        <f>COUNTIFS(F2:F32,"&gt;0")</f>
        <v>14</v>
      </c>
      <c r="H37" s="4" t="s">
        <v>63</v>
      </c>
      <c r="K37">
        <f>COUNTIFS(F2:F32,"&gt;0",R2:R32,"&lt;&gt;TRUE")</f>
        <v>14</v>
      </c>
    </row>
    <row r="38" spans="1:11" x14ac:dyDescent="0.25">
      <c r="A38" s="4" t="s">
        <v>64</v>
      </c>
      <c r="F38">
        <f>COUNTIFS(G2:G32,"&gt;0")</f>
        <v>15</v>
      </c>
      <c r="H38" s="4" t="s">
        <v>64</v>
      </c>
      <c r="K38">
        <f>COUNTIFS(G2:G32,"&gt;0",S2:S32,"&lt;&gt;TRUE")</f>
        <v>15</v>
      </c>
    </row>
    <row r="39" spans="1:11" x14ac:dyDescent="0.25">
      <c r="A39" s="4" t="s">
        <v>65</v>
      </c>
      <c r="F39">
        <f>COUNTIFS(F2:F32,"&lt;&gt;-1",F2:F32,"&lt;&gt;0",F2:F32,"&lt;2")</f>
        <v>2</v>
      </c>
      <c r="H39" s="4" t="s">
        <v>65</v>
      </c>
      <c r="K39">
        <f>COUNTIFS(F2:F32,"&lt;&gt;-1",F2:F32,"&lt;&gt;0",F2:F32,"&lt;2",R2:R32,"&lt;&gt;TRUE")</f>
        <v>2</v>
      </c>
    </row>
    <row r="40" spans="1:11" x14ac:dyDescent="0.25">
      <c r="A40" s="4" t="s">
        <v>66</v>
      </c>
      <c r="F40">
        <f>COUNTIFS(G2:G32,"&lt;&gt;-1",G2:G32,"&lt;&gt;0",G2:G32,"&lt;2")</f>
        <v>6</v>
      </c>
      <c r="H40" s="4" t="s">
        <v>66</v>
      </c>
      <c r="K40">
        <f>COUNTIFS(G2:G32,"&lt;&gt;-1",G2:G32,"&lt;&gt;0",G2:G32,"&lt;2",S2:S32,"&lt;&gt;TRUE")</f>
        <v>6</v>
      </c>
    </row>
    <row r="41" spans="1:11" x14ac:dyDescent="0.25">
      <c r="A41" s="4" t="s">
        <v>67</v>
      </c>
      <c r="F41">
        <f>COUNTIFS(F2:F32,"=-1")+COUNTIFS(F2:F32,"=-3")</f>
        <v>2</v>
      </c>
      <c r="H41" s="4" t="s">
        <v>67</v>
      </c>
      <c r="K41">
        <f>COUNTIFS(F2:F32,"=-1",R2:R32,"&lt;&gt;TRUE")+COUNTIFS(F2:F32,"=-3",R2:R32,"&lt;&gt;TRUE")</f>
        <v>2</v>
      </c>
    </row>
    <row r="42" spans="1:11" x14ac:dyDescent="0.25">
      <c r="A42" s="4" t="s">
        <v>68</v>
      </c>
      <c r="F42">
        <f>COUNTIFS(G2:G32,"=-1")+COUNTIFS(G2:G32,"=-3")</f>
        <v>1</v>
      </c>
      <c r="H42" s="4" t="s">
        <v>68</v>
      </c>
      <c r="K42">
        <f>COUNTIFS(G2:G32,"=-1",S2:S32,"&lt;&gt;TRUE")+COUNTIFS(G2:G32,"=-3",S2:S32,"&lt;&gt;TRUE")</f>
        <v>1</v>
      </c>
    </row>
    <row r="43" spans="1:11" x14ac:dyDescent="0.25">
      <c r="A43" s="4" t="s">
        <v>69</v>
      </c>
      <c r="F43" s="8">
        <f>F37/F36</f>
        <v>0.875</v>
      </c>
      <c r="H43" s="4" t="s">
        <v>69</v>
      </c>
      <c r="K43" s="8">
        <f>K37/K36</f>
        <v>0.875</v>
      </c>
    </row>
    <row r="44" spans="1:11" x14ac:dyDescent="0.25">
      <c r="A44" s="4" t="s">
        <v>70</v>
      </c>
      <c r="F44" s="8">
        <f>F38/F36</f>
        <v>0.9375</v>
      </c>
      <c r="H44" s="4" t="s">
        <v>71</v>
      </c>
      <c r="K44" s="8">
        <f>K38/K36</f>
        <v>0.9375</v>
      </c>
    </row>
    <row r="45" spans="1:11" x14ac:dyDescent="0.25">
      <c r="A45" s="4" t="s">
        <v>72</v>
      </c>
      <c r="F45" s="8">
        <f>F37/(F37+F39)</f>
        <v>0.875</v>
      </c>
      <c r="H45" s="4" t="s">
        <v>72</v>
      </c>
      <c r="K45" s="8">
        <f>K37/(K37+K39)</f>
        <v>0.875</v>
      </c>
    </row>
    <row r="46" spans="1:11" x14ac:dyDescent="0.25">
      <c r="A46" s="4" t="s">
        <v>73</v>
      </c>
      <c r="F46" s="8">
        <f>F38/(F38+F40)</f>
        <v>0.7142857142857143</v>
      </c>
      <c r="H46" s="4" t="s">
        <v>73</v>
      </c>
      <c r="K46" s="8">
        <f>K38/(K38+K40)</f>
        <v>0.7142857142857143</v>
      </c>
    </row>
    <row r="49" spans="1:11" ht="15.75" x14ac:dyDescent="0.25">
      <c r="A49" s="3" t="s">
        <v>74</v>
      </c>
      <c r="H49" s="3" t="s">
        <v>75</v>
      </c>
    </row>
    <row r="50" spans="1:11" x14ac:dyDescent="0.25">
      <c r="A50" s="4" t="s">
        <v>62</v>
      </c>
      <c r="F50">
        <f>COUNTIFS(H2:H32,"&lt;&gt;*_FP",H2:H32,"&lt;&gt;",H2:H32,"&lt;&gt;no structure")</f>
        <v>20</v>
      </c>
      <c r="H50" s="4" t="s">
        <v>62</v>
      </c>
      <c r="K50">
        <f>COUNTIFS(H2:H32,"&lt;&gt;*_FP",H2:H32,"&lt;&gt;",H2:H32,"&lt;&gt;no structure",T2:T32,"&lt;&gt;TRUE")</f>
        <v>20</v>
      </c>
    </row>
    <row r="51" spans="1:11" x14ac:dyDescent="0.25">
      <c r="A51" s="4" t="s">
        <v>63</v>
      </c>
      <c r="F51">
        <f>COUNTIFS(K2:K32,"&gt;0")</f>
        <v>17</v>
      </c>
      <c r="H51" s="4" t="s">
        <v>63</v>
      </c>
      <c r="K51">
        <f>COUNTIFS(K2:K32,"&gt;0",T2:T32,"&lt;&gt;TRUE")</f>
        <v>17</v>
      </c>
    </row>
    <row r="52" spans="1:11" x14ac:dyDescent="0.25">
      <c r="A52" s="4" t="s">
        <v>64</v>
      </c>
      <c r="F52">
        <f>COUNTIFS(L2:L32,"&gt;0")</f>
        <v>18</v>
      </c>
      <c r="H52" s="4" t="s">
        <v>64</v>
      </c>
      <c r="K52">
        <f>COUNTIFS(L2:L32,"&gt;0",U2:U32,"&lt;&gt;TRUE")</f>
        <v>18</v>
      </c>
    </row>
    <row r="53" spans="1:11" x14ac:dyDescent="0.25">
      <c r="A53" s="4" t="s">
        <v>65</v>
      </c>
      <c r="F53">
        <f>COUNTIFS(K2:K32,"&lt;&gt;-1",K2:K32,"&lt;&gt;0",K2:K32,"&lt;2")</f>
        <v>3</v>
      </c>
      <c r="H53" s="4" t="s">
        <v>65</v>
      </c>
      <c r="K53">
        <f>COUNTIFS(K2:K32,"&lt;&gt;-1",K2:K32,"&lt;&gt;0",K2:K32,"&lt;2",T2:T32,"&lt;&gt;TRUE")</f>
        <v>3</v>
      </c>
    </row>
    <row r="54" spans="1:11" x14ac:dyDescent="0.25">
      <c r="A54" s="4" t="s">
        <v>66</v>
      </c>
      <c r="F54">
        <f>COUNTIFS(L2:L32,"&lt;&gt;-1",L2:L32,"&lt;&gt;0",L2:L32,"&lt;2")</f>
        <v>6</v>
      </c>
      <c r="H54" s="4" t="s">
        <v>66</v>
      </c>
      <c r="K54">
        <f>COUNTIFS(L2:L32,"&lt;&gt;-1",L2:L32,"&lt;&gt;0",L2:L32,"&lt;2",U2:U32,"&lt;&gt;TRUE")</f>
        <v>6</v>
      </c>
    </row>
    <row r="55" spans="1:11" x14ac:dyDescent="0.25">
      <c r="A55" s="4" t="s">
        <v>67</v>
      </c>
      <c r="F55">
        <f>COUNTIFS(K2:K32,"=-1")+COUNTIFS(K2:K32,"=-3")</f>
        <v>3</v>
      </c>
      <c r="H55" s="4" t="s">
        <v>67</v>
      </c>
      <c r="K55">
        <f>COUNTIFS(K2:K32,"=-1",T2:T32,"&lt;&gt;TRUE")+COUNTIFS(K2:K32,"=-3",T2:T32,"&lt;&gt;TRUE")</f>
        <v>3</v>
      </c>
    </row>
    <row r="56" spans="1:11" x14ac:dyDescent="0.25">
      <c r="A56" s="4" t="s">
        <v>68</v>
      </c>
      <c r="F56">
        <f>COUNTIFS(L2:L32,"=-1")+COUNTIFS(L2:L32,"=-3")</f>
        <v>2</v>
      </c>
      <c r="H56" s="4" t="s">
        <v>68</v>
      </c>
      <c r="K56">
        <f>COUNTIFS(L2:L32,"=-1",U2:U32,"&lt;&gt;TRUE")+COUNTIFS(L2:L32,"=-3",U2:U32,"&lt;&gt;TRUE")</f>
        <v>2</v>
      </c>
    </row>
    <row r="57" spans="1:11" x14ac:dyDescent="0.25">
      <c r="A57" s="4" t="s">
        <v>69</v>
      </c>
      <c r="F57" s="8">
        <f>F51/F50</f>
        <v>0.85</v>
      </c>
      <c r="H57" s="4" t="s">
        <v>69</v>
      </c>
      <c r="K57" s="8">
        <f>K51/K50</f>
        <v>0.85</v>
      </c>
    </row>
    <row r="58" spans="1:11" x14ac:dyDescent="0.25">
      <c r="A58" s="4" t="s">
        <v>70</v>
      </c>
      <c r="F58" s="8">
        <f>F52/F50</f>
        <v>0.9</v>
      </c>
      <c r="H58" s="4" t="s">
        <v>71</v>
      </c>
      <c r="K58" s="8">
        <f>K52/K50</f>
        <v>0.9</v>
      </c>
    </row>
    <row r="59" spans="1:11" x14ac:dyDescent="0.25">
      <c r="A59" s="4" t="s">
        <v>72</v>
      </c>
      <c r="F59" s="8">
        <f>F51/(F51+F53)</f>
        <v>0.85</v>
      </c>
      <c r="H59" s="4" t="s">
        <v>72</v>
      </c>
      <c r="K59" s="8">
        <f>K51/(K51+K53)</f>
        <v>0.85</v>
      </c>
    </row>
    <row r="60" spans="1:11" x14ac:dyDescent="0.25">
      <c r="A60" s="4" t="s">
        <v>73</v>
      </c>
      <c r="F60" s="8">
        <f>F52/(F52+F54)</f>
        <v>0.75</v>
      </c>
      <c r="H60" s="4" t="s">
        <v>73</v>
      </c>
      <c r="K60" s="8">
        <f>K52/(K52+K54)</f>
        <v>0.75</v>
      </c>
    </row>
    <row r="63" spans="1:11" ht="15.75" x14ac:dyDescent="0.25">
      <c r="A63" s="3" t="s">
        <v>76</v>
      </c>
    </row>
    <row r="64" spans="1:11" x14ac:dyDescent="0.25">
      <c r="A64" s="1" t="s">
        <v>77</v>
      </c>
    </row>
    <row r="65" spans="1:1" x14ac:dyDescent="0.25">
      <c r="A65" s="5" t="s">
        <v>78</v>
      </c>
    </row>
    <row r="67" spans="1:1" x14ac:dyDescent="0.25">
      <c r="A67" s="1" t="s">
        <v>79</v>
      </c>
    </row>
    <row r="68" spans="1:1" x14ac:dyDescent="0.25">
      <c r="A68" s="6" t="s">
        <v>80</v>
      </c>
    </row>
    <row r="69" spans="1:1" x14ac:dyDescent="0.25">
      <c r="A69" s="7" t="s">
        <v>81</v>
      </c>
    </row>
    <row r="70" spans="1:1" x14ac:dyDescent="0.25">
      <c r="A70" s="5" t="s">
        <v>82</v>
      </c>
    </row>
    <row r="72" spans="1:1" x14ac:dyDescent="0.25">
      <c r="A72" s="4" t="s">
        <v>83</v>
      </c>
    </row>
    <row r="73" spans="1:1" x14ac:dyDescent="0.25">
      <c r="A73" t="s">
        <v>84</v>
      </c>
    </row>
    <row r="74" spans="1:1" x14ac:dyDescent="0.25">
      <c r="A74" t="s">
        <v>85</v>
      </c>
    </row>
    <row r="75" spans="1:1" x14ac:dyDescent="0.25">
      <c r="A75" t="s">
        <v>86</v>
      </c>
    </row>
    <row r="76" spans="1:1" x14ac:dyDescent="0.25">
      <c r="A76" t="s">
        <v>87</v>
      </c>
    </row>
    <row r="77" spans="1:1" x14ac:dyDescent="0.25">
      <c r="A77" t="s">
        <v>88</v>
      </c>
    </row>
    <row r="78" spans="1:1" x14ac:dyDescent="0.25">
      <c r="A78" t="s">
        <v>89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workbookViewId="0"/>
  </sheetViews>
  <sheetFormatPr baseColWidth="10"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348</v>
      </c>
      <c r="B2" s="5" t="s">
        <v>422</v>
      </c>
      <c r="C2" t="s">
        <v>20</v>
      </c>
      <c r="D2" t="s">
        <v>22</v>
      </c>
      <c r="E2" s="5" t="s">
        <v>141</v>
      </c>
      <c r="F2">
        <v>0</v>
      </c>
      <c r="G2" s="5">
        <v>-2</v>
      </c>
      <c r="H2" s="5" t="s">
        <v>423</v>
      </c>
      <c r="I2" t="s">
        <v>22</v>
      </c>
      <c r="J2" s="5" t="s">
        <v>142</v>
      </c>
      <c r="K2" s="5">
        <v>-1</v>
      </c>
      <c r="L2" s="5">
        <v>-2</v>
      </c>
      <c r="M2" t="s">
        <v>238</v>
      </c>
      <c r="N2" t="s">
        <v>17</v>
      </c>
      <c r="O2" t="s">
        <v>349</v>
      </c>
      <c r="P2">
        <v>5.4</v>
      </c>
      <c r="Q2" t="s">
        <v>424</v>
      </c>
    </row>
    <row r="3" spans="1:21" x14ac:dyDescent="0.25">
      <c r="A3" t="s">
        <v>348</v>
      </c>
      <c r="B3" s="1" t="s">
        <v>25</v>
      </c>
      <c r="C3" t="s">
        <v>20</v>
      </c>
      <c r="D3" s="5" t="s">
        <v>22</v>
      </c>
      <c r="E3" s="1" t="s">
        <v>25</v>
      </c>
      <c r="F3" s="5">
        <v>-1</v>
      </c>
      <c r="G3" s="1">
        <v>2</v>
      </c>
      <c r="H3" s="1" t="s">
        <v>146</v>
      </c>
      <c r="I3" s="5" t="s">
        <v>22</v>
      </c>
      <c r="J3" s="1" t="s">
        <v>146</v>
      </c>
      <c r="K3" s="5">
        <v>-1</v>
      </c>
      <c r="L3" s="1">
        <v>2</v>
      </c>
      <c r="M3" t="s">
        <v>350</v>
      </c>
      <c r="N3" t="s">
        <v>17</v>
      </c>
      <c r="O3" t="s">
        <v>351</v>
      </c>
      <c r="P3">
        <v>6.7</v>
      </c>
      <c r="Q3" t="s">
        <v>425</v>
      </c>
    </row>
    <row r="4" spans="1:21" x14ac:dyDescent="0.25">
      <c r="A4" t="s">
        <v>348</v>
      </c>
      <c r="B4" s="5" t="s">
        <v>426</v>
      </c>
      <c r="C4" t="s">
        <v>20</v>
      </c>
      <c r="D4" t="s">
        <v>22</v>
      </c>
      <c r="E4" s="5" t="s">
        <v>188</v>
      </c>
      <c r="F4">
        <v>0</v>
      </c>
      <c r="G4" s="5">
        <v>-2</v>
      </c>
      <c r="H4" s="5" t="s">
        <v>352</v>
      </c>
      <c r="I4" t="s">
        <v>22</v>
      </c>
      <c r="J4" s="5" t="s">
        <v>353</v>
      </c>
      <c r="K4">
        <v>0</v>
      </c>
      <c r="L4" s="5">
        <v>-2</v>
      </c>
      <c r="M4" t="s">
        <v>17</v>
      </c>
      <c r="N4" t="s">
        <v>17</v>
      </c>
      <c r="O4" t="s">
        <v>354</v>
      </c>
      <c r="P4">
        <v>1.2</v>
      </c>
      <c r="Q4" t="s">
        <v>427</v>
      </c>
    </row>
    <row r="5" spans="1:21" x14ac:dyDescent="0.25">
      <c r="A5" t="s">
        <v>348</v>
      </c>
      <c r="B5" s="5" t="s">
        <v>382</v>
      </c>
      <c r="C5" t="s">
        <v>20</v>
      </c>
      <c r="D5" t="s">
        <v>22</v>
      </c>
      <c r="E5" s="5" t="s">
        <v>34</v>
      </c>
      <c r="F5">
        <v>0</v>
      </c>
      <c r="G5" s="5">
        <v>-2</v>
      </c>
      <c r="H5" s="5" t="s">
        <v>355</v>
      </c>
      <c r="I5" t="s">
        <v>22</v>
      </c>
      <c r="J5" s="5" t="s">
        <v>35</v>
      </c>
      <c r="K5">
        <v>0</v>
      </c>
      <c r="L5" s="5">
        <v>-2</v>
      </c>
      <c r="M5" t="s">
        <v>17</v>
      </c>
      <c r="N5" t="s">
        <v>17</v>
      </c>
      <c r="O5" t="s">
        <v>356</v>
      </c>
      <c r="P5">
        <v>1</v>
      </c>
      <c r="Q5" t="s">
        <v>427</v>
      </c>
    </row>
    <row r="6" spans="1:21" x14ac:dyDescent="0.25">
      <c r="A6" t="s">
        <v>348</v>
      </c>
      <c r="B6" s="5" t="s">
        <v>429</v>
      </c>
      <c r="C6" t="s">
        <v>20</v>
      </c>
      <c r="D6" t="s">
        <v>22</v>
      </c>
      <c r="E6" s="5" t="s">
        <v>55</v>
      </c>
      <c r="F6">
        <v>0</v>
      </c>
      <c r="G6" s="5">
        <v>-2</v>
      </c>
      <c r="H6" s="5" t="s">
        <v>357</v>
      </c>
      <c r="I6" t="s">
        <v>22</v>
      </c>
      <c r="J6" s="5" t="s">
        <v>56</v>
      </c>
      <c r="K6">
        <v>0</v>
      </c>
      <c r="L6" s="5">
        <v>-2</v>
      </c>
      <c r="M6" t="s">
        <v>17</v>
      </c>
      <c r="N6" t="s">
        <v>17</v>
      </c>
      <c r="O6" t="s">
        <v>358</v>
      </c>
      <c r="P6">
        <v>1.9</v>
      </c>
      <c r="Q6" t="s">
        <v>428</v>
      </c>
    </row>
    <row r="7" spans="1:21" x14ac:dyDescent="0.25">
      <c r="A7" t="s">
        <v>348</v>
      </c>
      <c r="B7" s="5" t="s">
        <v>333</v>
      </c>
      <c r="C7" t="s">
        <v>20</v>
      </c>
      <c r="D7" t="s">
        <v>22</v>
      </c>
      <c r="E7" s="5" t="s">
        <v>334</v>
      </c>
      <c r="F7">
        <v>0</v>
      </c>
      <c r="G7" s="5">
        <v>-2</v>
      </c>
      <c r="H7" s="5" t="s">
        <v>359</v>
      </c>
      <c r="I7" t="s">
        <v>22</v>
      </c>
      <c r="J7" s="5" t="s">
        <v>360</v>
      </c>
      <c r="K7">
        <v>0</v>
      </c>
      <c r="L7" s="5">
        <v>-2</v>
      </c>
      <c r="M7" t="s">
        <v>17</v>
      </c>
      <c r="N7" t="s">
        <v>17</v>
      </c>
      <c r="O7" t="s">
        <v>361</v>
      </c>
      <c r="P7">
        <v>28</v>
      </c>
      <c r="Q7" t="s">
        <v>427</v>
      </c>
    </row>
    <row r="8" spans="1:21" x14ac:dyDescent="0.25">
      <c r="A8" t="s">
        <v>348</v>
      </c>
      <c r="B8" s="5" t="s">
        <v>362</v>
      </c>
      <c r="C8" t="s">
        <v>20</v>
      </c>
      <c r="D8" t="s">
        <v>22</v>
      </c>
      <c r="E8" s="5" t="s">
        <v>270</v>
      </c>
      <c r="F8">
        <v>0</v>
      </c>
      <c r="G8" s="5">
        <v>-2</v>
      </c>
      <c r="H8" s="5" t="s">
        <v>363</v>
      </c>
      <c r="I8" t="s">
        <v>22</v>
      </c>
      <c r="J8" s="5" t="s">
        <v>344</v>
      </c>
      <c r="K8">
        <v>0</v>
      </c>
      <c r="L8" s="5">
        <v>-2</v>
      </c>
      <c r="M8" t="s">
        <v>17</v>
      </c>
      <c r="N8" t="s">
        <v>17</v>
      </c>
      <c r="O8" t="s">
        <v>364</v>
      </c>
      <c r="P8">
        <v>2.4</v>
      </c>
      <c r="Q8" t="s">
        <v>427</v>
      </c>
    </row>
    <row r="9" spans="1:21" x14ac:dyDescent="0.25">
      <c r="A9" t="s">
        <v>348</v>
      </c>
      <c r="B9" s="5" t="s">
        <v>365</v>
      </c>
      <c r="C9" t="s">
        <v>20</v>
      </c>
      <c r="D9" t="s">
        <v>22</v>
      </c>
      <c r="E9" s="5" t="s">
        <v>366</v>
      </c>
      <c r="F9">
        <v>0</v>
      </c>
      <c r="G9" s="5">
        <v>-2</v>
      </c>
      <c r="H9" s="5" t="s">
        <v>367</v>
      </c>
      <c r="I9" t="s">
        <v>22</v>
      </c>
      <c r="J9" s="5" t="s">
        <v>368</v>
      </c>
      <c r="K9">
        <v>0</v>
      </c>
      <c r="L9" s="5">
        <v>-2</v>
      </c>
      <c r="M9" t="s">
        <v>17</v>
      </c>
      <c r="N9" t="s">
        <v>17</v>
      </c>
      <c r="O9" t="s">
        <v>369</v>
      </c>
      <c r="P9">
        <v>16.7</v>
      </c>
      <c r="Q9" t="s">
        <v>427</v>
      </c>
    </row>
    <row r="10" spans="1:21" x14ac:dyDescent="0.25">
      <c r="A10" t="s">
        <v>348</v>
      </c>
      <c r="B10" s="5" t="s">
        <v>370</v>
      </c>
      <c r="C10" t="s">
        <v>20</v>
      </c>
      <c r="D10" t="s">
        <v>22</v>
      </c>
      <c r="E10" s="5" t="s">
        <v>371</v>
      </c>
      <c r="F10">
        <v>0</v>
      </c>
      <c r="G10" s="5">
        <v>-2</v>
      </c>
      <c r="H10" s="5" t="s">
        <v>372</v>
      </c>
      <c r="I10" t="s">
        <v>22</v>
      </c>
      <c r="J10" s="5" t="s">
        <v>373</v>
      </c>
      <c r="K10">
        <v>0</v>
      </c>
      <c r="L10" s="5">
        <v>-2</v>
      </c>
      <c r="M10" t="s">
        <v>17</v>
      </c>
      <c r="N10" t="s">
        <v>17</v>
      </c>
      <c r="O10" s="10">
        <v>21.716699999999999</v>
      </c>
      <c r="P10">
        <v>25</v>
      </c>
      <c r="Q10" t="s">
        <v>430</v>
      </c>
    </row>
    <row r="13" spans="1:21" ht="15.75" x14ac:dyDescent="0.25">
      <c r="A13" s="3" t="s">
        <v>60</v>
      </c>
      <c r="H13" s="3" t="s">
        <v>61</v>
      </c>
    </row>
    <row r="14" spans="1:21" x14ac:dyDescent="0.25">
      <c r="A14" s="4" t="s">
        <v>62</v>
      </c>
      <c r="F14">
        <f>COUNTIFS(B2:B10,"&lt;&gt;*_*",B2:B10,"&lt;&gt;")</f>
        <v>1</v>
      </c>
      <c r="H14" s="4" t="s">
        <v>62</v>
      </c>
      <c r="K14">
        <f>COUNTIFS(B2:B10,"&lt;&gt;*_*",B2:B10,"&lt;&gt;",R2:R10,"&lt;&gt;TRUE")</f>
        <v>1</v>
      </c>
    </row>
    <row r="15" spans="1:21" x14ac:dyDescent="0.25">
      <c r="A15" s="4" t="s">
        <v>63</v>
      </c>
      <c r="F15">
        <f>COUNTIFS(F2:F10,"&gt;0")</f>
        <v>0</v>
      </c>
      <c r="H15" s="4" t="s">
        <v>63</v>
      </c>
      <c r="K15">
        <f>COUNTIFS(F2:F10,"&gt;0",R2:R10,"&lt;&gt;TRUE")</f>
        <v>0</v>
      </c>
    </row>
    <row r="16" spans="1:21" x14ac:dyDescent="0.25">
      <c r="A16" s="4" t="s">
        <v>64</v>
      </c>
      <c r="F16">
        <f>COUNTIFS(G2:G10,"&gt;0")</f>
        <v>1</v>
      </c>
      <c r="H16" s="4" t="s">
        <v>64</v>
      </c>
      <c r="K16">
        <f>COUNTIFS(G2:G10,"&gt;0",S2:S10,"&lt;&gt;TRUE")</f>
        <v>1</v>
      </c>
    </row>
    <row r="17" spans="1:11" x14ac:dyDescent="0.25">
      <c r="A17" s="4" t="s">
        <v>65</v>
      </c>
      <c r="F17">
        <f>COUNTIFS(F2:F10,"&lt;&gt;-1",F2:F10,"&lt;&gt;0",F2:F10,"&lt;2")</f>
        <v>0</v>
      </c>
      <c r="H17" s="4" t="s">
        <v>65</v>
      </c>
      <c r="K17">
        <f>COUNTIFS(F2:F10,"&lt;&gt;-1",F2:F10,"&lt;&gt;0",F2:F10,"&lt;2",R2:R10,"&lt;&gt;TRUE")</f>
        <v>0</v>
      </c>
    </row>
    <row r="18" spans="1:11" x14ac:dyDescent="0.25">
      <c r="A18" s="4" t="s">
        <v>66</v>
      </c>
      <c r="F18">
        <f>COUNTIFS(G2:G10,"&lt;&gt;-1",G2:G10,"&lt;&gt;0",G2:G10,"&lt;2")</f>
        <v>8</v>
      </c>
      <c r="H18" s="4" t="s">
        <v>66</v>
      </c>
      <c r="K18">
        <f>COUNTIFS(G2:G10,"&lt;&gt;-1",G2:G10,"&lt;&gt;0",G2:G10,"&lt;2",S2:S10,"&lt;&gt;TRUE")</f>
        <v>8</v>
      </c>
    </row>
    <row r="19" spans="1:11" x14ac:dyDescent="0.25">
      <c r="A19" s="4" t="s">
        <v>67</v>
      </c>
      <c r="F19">
        <f>COUNTIFS(F2:F10,"=-1")+COUNTIFS(F2:F10,"=-3")</f>
        <v>1</v>
      </c>
      <c r="H19" s="4" t="s">
        <v>67</v>
      </c>
      <c r="K19">
        <f>COUNTIFS(F2:F10,"=-1",R2:R10,"&lt;&gt;TRUE")+COUNTIFS(F2:F10,"=-3",R2:R10,"&lt;&gt;TRUE")</f>
        <v>1</v>
      </c>
    </row>
    <row r="20" spans="1:11" x14ac:dyDescent="0.25">
      <c r="A20" s="4" t="s">
        <v>68</v>
      </c>
      <c r="F20">
        <f>COUNTIFS(G2:G10,"=-1")+COUNTIFS(G2:G10,"=-3")</f>
        <v>0</v>
      </c>
      <c r="H20" s="4" t="s">
        <v>68</v>
      </c>
      <c r="K20">
        <f>COUNTIFS(G2:G10,"=-1",S2:S10,"&lt;&gt;TRUE")+COUNTIFS(G2:G10,"=-3",S2:S10,"&lt;&gt;TRUE")</f>
        <v>0</v>
      </c>
    </row>
    <row r="21" spans="1:11" x14ac:dyDescent="0.25">
      <c r="A21" s="4" t="s">
        <v>69</v>
      </c>
      <c r="F21" s="8">
        <f>F15/F14</f>
        <v>0</v>
      </c>
      <c r="H21" s="4" t="s">
        <v>69</v>
      </c>
      <c r="K21" s="8">
        <f>K15/K14</f>
        <v>0</v>
      </c>
    </row>
    <row r="22" spans="1:11" x14ac:dyDescent="0.25">
      <c r="A22" s="4" t="s">
        <v>70</v>
      </c>
      <c r="F22" s="8">
        <f>F16/F14</f>
        <v>1</v>
      </c>
      <c r="H22" s="4" t="s">
        <v>71</v>
      </c>
      <c r="K22" s="8">
        <f>K16/K14</f>
        <v>1</v>
      </c>
    </row>
    <row r="23" spans="1:11" x14ac:dyDescent="0.25">
      <c r="A23" s="4" t="s">
        <v>72</v>
      </c>
      <c r="F23" s="12" t="s">
        <v>431</v>
      </c>
      <c r="H23" s="4" t="s">
        <v>72</v>
      </c>
      <c r="K23" s="12" t="s">
        <v>431</v>
      </c>
    </row>
    <row r="24" spans="1:11" x14ac:dyDescent="0.25">
      <c r="A24" s="4" t="s">
        <v>73</v>
      </c>
      <c r="F24" s="8">
        <f>F16/(F16+F18)</f>
        <v>0.1111111111111111</v>
      </c>
      <c r="H24" s="4" t="s">
        <v>73</v>
      </c>
      <c r="K24" s="8">
        <f>K16/(K16+K18)</f>
        <v>0.1111111111111111</v>
      </c>
    </row>
    <row r="27" spans="1:11" ht="15.75" x14ac:dyDescent="0.25">
      <c r="A27" s="3" t="s">
        <v>74</v>
      </c>
      <c r="H27" s="3" t="s">
        <v>75</v>
      </c>
    </row>
    <row r="28" spans="1:11" x14ac:dyDescent="0.25">
      <c r="A28" s="4" t="s">
        <v>62</v>
      </c>
      <c r="F28">
        <f>COUNTIFS(H2:H10,"&lt;&gt;*_FP",H2:H10,"&lt;&gt;",H2:H10,"&lt;&gt;no structure")</f>
        <v>1</v>
      </c>
      <c r="H28" s="4" t="s">
        <v>62</v>
      </c>
      <c r="K28">
        <f>COUNTIFS(H2:H10,"&lt;&gt;*_FP",H2:H10,"&lt;&gt;",H2:H10,"&lt;&gt;no structure",T2:T10,"&lt;&gt;TRUE")</f>
        <v>1</v>
      </c>
    </row>
    <row r="29" spans="1:11" x14ac:dyDescent="0.25">
      <c r="A29" s="4" t="s">
        <v>63</v>
      </c>
      <c r="F29">
        <f>COUNTIFS(K2:K10,"&gt;0")</f>
        <v>0</v>
      </c>
      <c r="H29" s="4" t="s">
        <v>63</v>
      </c>
      <c r="K29">
        <f>COUNTIFS(K2:K10,"&gt;0",T2:T10,"&lt;&gt;TRUE")</f>
        <v>0</v>
      </c>
    </row>
    <row r="30" spans="1:11" x14ac:dyDescent="0.25">
      <c r="A30" s="4" t="s">
        <v>64</v>
      </c>
      <c r="F30">
        <f>COUNTIFS(L2:L10,"&gt;0")</f>
        <v>1</v>
      </c>
      <c r="H30" s="4" t="s">
        <v>64</v>
      </c>
      <c r="K30">
        <f>COUNTIFS(L2:L10,"&gt;0",U2:U10,"&lt;&gt;TRUE")</f>
        <v>1</v>
      </c>
    </row>
    <row r="31" spans="1:11" x14ac:dyDescent="0.25">
      <c r="A31" s="4" t="s">
        <v>65</v>
      </c>
      <c r="F31">
        <f>COUNTIFS(K2:K10,"&lt;&gt;-1",K2:K10,"&lt;&gt;0",K2:K10,"&lt;2")</f>
        <v>0</v>
      </c>
      <c r="H31" s="4" t="s">
        <v>65</v>
      </c>
      <c r="K31">
        <f>COUNTIFS(K2:K10,"&lt;&gt;-1",K2:K10,"&lt;&gt;0",K2:K10,"&lt;2",T2:T10,"&lt;&gt;TRUE")</f>
        <v>0</v>
      </c>
    </row>
    <row r="32" spans="1:11" x14ac:dyDescent="0.25">
      <c r="A32" s="4" t="s">
        <v>66</v>
      </c>
      <c r="F32">
        <f>COUNTIFS(L2:L10,"&lt;&gt;-1",L2:L10,"&lt;&gt;0",L2:L10,"&lt;2")</f>
        <v>8</v>
      </c>
      <c r="H32" s="4" t="s">
        <v>66</v>
      </c>
      <c r="K32">
        <f>COUNTIFS(L2:L10,"&lt;&gt;-1",L2:L10,"&lt;&gt;0",L2:L10,"&lt;2",U2:U10,"&lt;&gt;TRUE")</f>
        <v>8</v>
      </c>
    </row>
    <row r="33" spans="1:11" x14ac:dyDescent="0.25">
      <c r="A33" s="4" t="s">
        <v>67</v>
      </c>
      <c r="F33">
        <f>COUNTIFS(K2:K10,"=-1")+COUNTIFS(K2:K10,"=-3")</f>
        <v>2</v>
      </c>
      <c r="H33" s="4" t="s">
        <v>67</v>
      </c>
      <c r="K33">
        <f>COUNTIFS(K2:K10,"=-1",T2:T10,"&lt;&gt;TRUE")+COUNTIFS(K2:K10,"=-3",T2:T10,"&lt;&gt;TRUE")</f>
        <v>2</v>
      </c>
    </row>
    <row r="34" spans="1:11" x14ac:dyDescent="0.25">
      <c r="A34" s="4" t="s">
        <v>68</v>
      </c>
      <c r="F34">
        <f>COUNTIFS(L2:L10,"=-1")+COUNTIFS(L2:L10,"=-3")</f>
        <v>0</v>
      </c>
      <c r="H34" s="4" t="s">
        <v>68</v>
      </c>
      <c r="K34">
        <f>COUNTIFS(L2:L10,"=-1",U2:U10,"&lt;&gt;TRUE")+COUNTIFS(L2:L10,"=-3",U2:U10,"&lt;&gt;TRUE")</f>
        <v>0</v>
      </c>
    </row>
    <row r="35" spans="1:11" x14ac:dyDescent="0.25">
      <c r="A35" s="4" t="s">
        <v>69</v>
      </c>
      <c r="F35" s="8">
        <f>F29/F28</f>
        <v>0</v>
      </c>
      <c r="H35" s="4" t="s">
        <v>69</v>
      </c>
      <c r="K35" s="8">
        <f>K29/K28</f>
        <v>0</v>
      </c>
    </row>
    <row r="36" spans="1:11" x14ac:dyDescent="0.25">
      <c r="A36" s="4" t="s">
        <v>70</v>
      </c>
      <c r="F36" s="8">
        <f>F30/F28</f>
        <v>1</v>
      </c>
      <c r="H36" s="4" t="s">
        <v>71</v>
      </c>
      <c r="K36" s="8">
        <f>K30/K28</f>
        <v>1</v>
      </c>
    </row>
    <row r="37" spans="1:11" x14ac:dyDescent="0.25">
      <c r="A37" s="4" t="s">
        <v>72</v>
      </c>
      <c r="F37" s="12" t="s">
        <v>431</v>
      </c>
      <c r="H37" s="4" t="s">
        <v>72</v>
      </c>
      <c r="K37" s="12" t="s">
        <v>431</v>
      </c>
    </row>
    <row r="38" spans="1:11" x14ac:dyDescent="0.25">
      <c r="A38" s="4" t="s">
        <v>73</v>
      </c>
      <c r="F38" s="8">
        <f>F30/(F30+F32)</f>
        <v>0.1111111111111111</v>
      </c>
      <c r="H38" s="4" t="s">
        <v>73</v>
      </c>
      <c r="K38" s="8">
        <f>K30/(K30+K32)</f>
        <v>0.1111111111111111</v>
      </c>
    </row>
    <row r="41" spans="1:11" ht="15.75" x14ac:dyDescent="0.25">
      <c r="A41" s="3" t="s">
        <v>76</v>
      </c>
    </row>
    <row r="42" spans="1:11" x14ac:dyDescent="0.25">
      <c r="A42" s="1" t="s">
        <v>77</v>
      </c>
    </row>
    <row r="43" spans="1:11" x14ac:dyDescent="0.25">
      <c r="A43" s="5" t="s">
        <v>78</v>
      </c>
    </row>
    <row r="45" spans="1:11" x14ac:dyDescent="0.25">
      <c r="A45" s="1" t="s">
        <v>79</v>
      </c>
    </row>
    <row r="46" spans="1:11" x14ac:dyDescent="0.25">
      <c r="A46" s="6" t="s">
        <v>80</v>
      </c>
    </row>
    <row r="47" spans="1:11" x14ac:dyDescent="0.25">
      <c r="A47" s="7" t="s">
        <v>81</v>
      </c>
    </row>
    <row r="48" spans="1:11" x14ac:dyDescent="0.25">
      <c r="A48" s="5" t="s">
        <v>82</v>
      </c>
    </row>
    <row r="50" spans="1:1" x14ac:dyDescent="0.25">
      <c r="A50" s="4" t="s">
        <v>83</v>
      </c>
    </row>
    <row r="51" spans="1:1" x14ac:dyDescent="0.25">
      <c r="A51" t="s">
        <v>84</v>
      </c>
    </row>
    <row r="52" spans="1:1" x14ac:dyDescent="0.25">
      <c r="A52" t="s">
        <v>85</v>
      </c>
    </row>
    <row r="53" spans="1:1" x14ac:dyDescent="0.25">
      <c r="A53" t="s">
        <v>86</v>
      </c>
    </row>
    <row r="54" spans="1:1" x14ac:dyDescent="0.25">
      <c r="A54" t="s">
        <v>87</v>
      </c>
    </row>
    <row r="55" spans="1:1" x14ac:dyDescent="0.25">
      <c r="A55" t="s">
        <v>88</v>
      </c>
    </row>
    <row r="56" spans="1:1" x14ac:dyDescent="0.25">
      <c r="A56" t="s">
        <v>89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/>
  </sheetViews>
  <sheetFormatPr baseColWidth="10"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374</v>
      </c>
      <c r="B2" s="1" t="s">
        <v>375</v>
      </c>
      <c r="C2" t="s">
        <v>20</v>
      </c>
      <c r="D2" s="1" t="s">
        <v>375</v>
      </c>
      <c r="E2" s="1" t="s">
        <v>375</v>
      </c>
      <c r="F2" s="1">
        <v>2</v>
      </c>
      <c r="G2" s="1">
        <v>2</v>
      </c>
      <c r="H2" t="s">
        <v>376</v>
      </c>
      <c r="I2" t="s">
        <v>377</v>
      </c>
      <c r="J2" t="s">
        <v>378</v>
      </c>
      <c r="K2">
        <v>100</v>
      </c>
    </row>
    <row r="5" spans="1:14" ht="15.75" x14ac:dyDescent="0.25">
      <c r="A5" s="3" t="s">
        <v>60</v>
      </c>
      <c r="H5" s="3" t="s">
        <v>61</v>
      </c>
    </row>
    <row r="6" spans="1:14" x14ac:dyDescent="0.25">
      <c r="A6" s="4" t="s">
        <v>62</v>
      </c>
      <c r="F6">
        <f>COUNTIFS(B2:B2,"&lt;&gt;*_*",B2:B2,"&lt;&gt;")</f>
        <v>1</v>
      </c>
      <c r="H6" s="4" t="s">
        <v>62</v>
      </c>
      <c r="K6">
        <f>COUNTIFS(B2:B2,"&lt;&gt;*_*",B2:B2,"&lt;&gt;",M2:M2,"&lt;&gt;TRUE")</f>
        <v>1</v>
      </c>
    </row>
    <row r="7" spans="1:14" x14ac:dyDescent="0.25">
      <c r="A7" s="4" t="s">
        <v>63</v>
      </c>
      <c r="F7">
        <f>COUNTIFS(F2:F2,"&gt;0")</f>
        <v>1</v>
      </c>
      <c r="H7" s="4" t="s">
        <v>63</v>
      </c>
      <c r="K7">
        <f>COUNTIFS(F2:F2,"&gt;0",M2:M2,"&lt;&gt;TRUE")</f>
        <v>1</v>
      </c>
    </row>
    <row r="8" spans="1:14" x14ac:dyDescent="0.25">
      <c r="A8" s="4" t="s">
        <v>64</v>
      </c>
      <c r="F8">
        <f>COUNTIFS(G2:G2,"&gt;0")</f>
        <v>1</v>
      </c>
      <c r="H8" s="4" t="s">
        <v>64</v>
      </c>
      <c r="K8">
        <f>COUNTIFS(G2:G2,"&gt;0",N2:N2,"&lt;&gt;TRUE")</f>
        <v>1</v>
      </c>
    </row>
    <row r="9" spans="1:14" x14ac:dyDescent="0.25">
      <c r="A9" s="4" t="s">
        <v>65</v>
      </c>
      <c r="F9">
        <f>COUNTIFS(F2:F2,"&lt;&gt;-1",F2:F2,"&lt;&gt;0",F2:F2,"&lt;2")</f>
        <v>0</v>
      </c>
      <c r="H9" s="4" t="s">
        <v>65</v>
      </c>
      <c r="K9">
        <f>COUNTIFS(F2:F2,"&lt;&gt;-1",F2:F2,"&lt;&gt;0",F2:F2,"&lt;2",M2:M2,"&lt;&gt;TRUE")</f>
        <v>0</v>
      </c>
    </row>
    <row r="10" spans="1:14" x14ac:dyDescent="0.25">
      <c r="A10" s="4" t="s">
        <v>66</v>
      </c>
      <c r="F10">
        <f>COUNTIFS(G2:G2,"&lt;&gt;-1",G2:G2,"&lt;&gt;0",G2:G2,"&lt;2")</f>
        <v>0</v>
      </c>
      <c r="H10" s="4" t="s">
        <v>66</v>
      </c>
      <c r="K10">
        <f>COUNTIFS(G2:G2,"&lt;&gt;-1",G2:G2,"&lt;&gt;0",G2:G2,"&lt;2",N2:N2,"&lt;&gt;TRUE")</f>
        <v>0</v>
      </c>
    </row>
    <row r="11" spans="1:14" x14ac:dyDescent="0.25">
      <c r="A11" s="4" t="s">
        <v>67</v>
      </c>
      <c r="F11">
        <f>COUNTIFS(F2:F2,"=-1")+COUNTIFS(F2:F2,"=-3")</f>
        <v>0</v>
      </c>
      <c r="H11" s="4" t="s">
        <v>67</v>
      </c>
      <c r="K11">
        <f>COUNTIFS(F2:F2,"=-1",M2:M2,"&lt;&gt;TRUE")+COUNTIFS(F2:F2,"=-3",M2:M2,"&lt;&gt;TRUE")</f>
        <v>0</v>
      </c>
    </row>
    <row r="12" spans="1:14" x14ac:dyDescent="0.25">
      <c r="A12" s="4" t="s">
        <v>68</v>
      </c>
      <c r="F12">
        <f>COUNTIFS(G2:G2,"=-1")+COUNTIFS(G2:G2,"=-3")</f>
        <v>0</v>
      </c>
      <c r="H12" s="4" t="s">
        <v>68</v>
      </c>
      <c r="K12">
        <f>COUNTIFS(G2:G2,"=-1",N2:N2,"&lt;&gt;TRUE")+COUNTIFS(G2:G2,"=-3",N2:N2,"&lt;&gt;TRUE")</f>
        <v>0</v>
      </c>
    </row>
    <row r="13" spans="1:14" x14ac:dyDescent="0.25">
      <c r="A13" s="4" t="s">
        <v>69</v>
      </c>
      <c r="F13" s="8">
        <f>F7/F6</f>
        <v>1</v>
      </c>
      <c r="H13" s="4" t="s">
        <v>69</v>
      </c>
      <c r="K13" s="8">
        <f>K7/K6</f>
        <v>1</v>
      </c>
    </row>
    <row r="14" spans="1:14" x14ac:dyDescent="0.25">
      <c r="A14" s="4" t="s">
        <v>70</v>
      </c>
      <c r="F14" s="8">
        <f>F8/F6</f>
        <v>1</v>
      </c>
      <c r="H14" s="4" t="s">
        <v>71</v>
      </c>
      <c r="K14" s="8">
        <f>K8/K6</f>
        <v>1</v>
      </c>
    </row>
    <row r="15" spans="1:14" x14ac:dyDescent="0.25">
      <c r="A15" s="4" t="s">
        <v>72</v>
      </c>
      <c r="F15" s="8">
        <f>F7/(F7+F9)</f>
        <v>1</v>
      </c>
      <c r="H15" s="4" t="s">
        <v>72</v>
      </c>
      <c r="K15" s="8">
        <f>K7/(K7+K9)</f>
        <v>1</v>
      </c>
    </row>
    <row r="16" spans="1:14" x14ac:dyDescent="0.25">
      <c r="A16" s="4" t="s">
        <v>73</v>
      </c>
      <c r="F16" s="8">
        <f>F8/(F8+F10)</f>
        <v>1</v>
      </c>
      <c r="H16" s="4" t="s">
        <v>73</v>
      </c>
      <c r="K16" s="8">
        <f>K8/(K8+K10)</f>
        <v>1</v>
      </c>
    </row>
    <row r="19" spans="1:1" ht="15.75" x14ac:dyDescent="0.25">
      <c r="A19" s="3" t="s">
        <v>76</v>
      </c>
    </row>
    <row r="20" spans="1:1" x14ac:dyDescent="0.25">
      <c r="A20" s="1" t="s">
        <v>77</v>
      </c>
    </row>
    <row r="21" spans="1:1" x14ac:dyDescent="0.25">
      <c r="A21" s="5" t="s">
        <v>78</v>
      </c>
    </row>
    <row r="23" spans="1:1" x14ac:dyDescent="0.25">
      <c r="A23" s="1" t="s">
        <v>79</v>
      </c>
    </row>
    <row r="24" spans="1:1" x14ac:dyDescent="0.25">
      <c r="A24" s="6" t="s">
        <v>80</v>
      </c>
    </row>
    <row r="25" spans="1:1" x14ac:dyDescent="0.25">
      <c r="A25" s="7" t="s">
        <v>81</v>
      </c>
    </row>
    <row r="26" spans="1:1" x14ac:dyDescent="0.25">
      <c r="A26" s="5" t="s">
        <v>82</v>
      </c>
    </row>
    <row r="28" spans="1:1" x14ac:dyDescent="0.25">
      <c r="A28" s="4" t="s">
        <v>83</v>
      </c>
    </row>
    <row r="29" spans="1:1" x14ac:dyDescent="0.25">
      <c r="A29" t="s">
        <v>84</v>
      </c>
    </row>
    <row r="30" spans="1:1" x14ac:dyDescent="0.25">
      <c r="A30" t="s">
        <v>85</v>
      </c>
    </row>
    <row r="31" spans="1:1" x14ac:dyDescent="0.25">
      <c r="A31" t="s">
        <v>86</v>
      </c>
    </row>
    <row r="32" spans="1:1" x14ac:dyDescent="0.25">
      <c r="A32" t="s">
        <v>87</v>
      </c>
    </row>
    <row r="33" spans="1:1" x14ac:dyDescent="0.25">
      <c r="A33" t="s">
        <v>88</v>
      </c>
    </row>
    <row r="34" spans="1:1" x14ac:dyDescent="0.25">
      <c r="A34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Summary</vt:lpstr>
      <vt:lpstr>PI</vt:lpstr>
      <vt:lpstr>P-PE</vt:lpstr>
      <vt:lpstr>LPE</vt:lpstr>
      <vt:lpstr>PS</vt:lpstr>
      <vt:lpstr>PC</vt:lpstr>
      <vt:lpstr>PE</vt:lpstr>
      <vt:lpstr>PG</vt:lpstr>
      <vt:lpstr>Cer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Köfeler Harald, Mag.Dr.</cp:lastModifiedBy>
  <dcterms:created xsi:type="dcterms:W3CDTF">2017-03-17T14:44:30Z</dcterms:created>
  <dcterms:modified xsi:type="dcterms:W3CDTF">2017-05-02T08:18:46Z</dcterms:modified>
</cp:coreProperties>
</file>