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980" windowHeight="8550"/>
  </bookViews>
  <sheets>
    <sheet name="Summary" sheetId="9" r:id="rId1"/>
    <sheet name="PI" sheetId="1" r:id="rId2"/>
    <sheet name="P-PE" sheetId="2" r:id="rId3"/>
    <sheet name="LPE" sheetId="3" r:id="rId4"/>
    <sheet name="PS" sheetId="4" r:id="rId5"/>
    <sheet name="PC" sheetId="5" r:id="rId6"/>
    <sheet name="PE" sheetId="6" r:id="rId7"/>
    <sheet name="PG" sheetId="7" r:id="rId8"/>
    <sheet name="Cer" sheetId="8" r:id="rId9"/>
  </sheets>
  <calcPr calcId="145621"/>
</workbook>
</file>

<file path=xl/calcChain.xml><?xml version="1.0" encoding="utf-8"?>
<calcChain xmlns="http://schemas.openxmlformats.org/spreadsheetml/2006/main">
  <c r="E13" i="9" l="1"/>
  <c r="Q30" i="9" l="1"/>
  <c r="O30" i="9"/>
  <c r="M30" i="9"/>
  <c r="K30" i="9"/>
  <c r="I30" i="9"/>
  <c r="G30" i="9"/>
  <c r="E30" i="9"/>
  <c r="C30" i="9"/>
  <c r="G28" i="9"/>
  <c r="E28" i="9"/>
  <c r="C28" i="9"/>
  <c r="M27" i="9"/>
  <c r="K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G23" i="9"/>
  <c r="E23" i="9"/>
  <c r="C23" i="9"/>
  <c r="O22" i="9"/>
  <c r="M22" i="9"/>
  <c r="K22" i="9"/>
  <c r="G22" i="9"/>
  <c r="E22" i="9"/>
  <c r="C22" i="9"/>
  <c r="Q21" i="9"/>
  <c r="O21" i="9"/>
  <c r="M21" i="9"/>
  <c r="K21" i="9"/>
  <c r="I21" i="9"/>
  <c r="G21" i="9"/>
  <c r="E21" i="9"/>
  <c r="C21" i="9"/>
  <c r="Q13" i="9"/>
  <c r="O13" i="9"/>
  <c r="M13" i="9"/>
  <c r="K13" i="9"/>
  <c r="I13" i="9"/>
  <c r="G13" i="9"/>
  <c r="C13" i="9"/>
  <c r="G11" i="9"/>
  <c r="E11" i="9"/>
  <c r="C11" i="9"/>
  <c r="M10" i="9"/>
  <c r="K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O7" i="9"/>
  <c r="M7" i="9"/>
  <c r="K7" i="9"/>
  <c r="I7" i="9"/>
  <c r="G7" i="9"/>
  <c r="E7" i="9"/>
  <c r="C7" i="9"/>
  <c r="G6" i="9"/>
  <c r="E6" i="9"/>
  <c r="C6" i="9"/>
  <c r="O5" i="9"/>
  <c r="M5" i="9"/>
  <c r="K5" i="9"/>
  <c r="G5" i="9"/>
  <c r="E5" i="9"/>
  <c r="C5" i="9"/>
  <c r="Q4" i="9"/>
  <c r="O4" i="9"/>
  <c r="M4" i="9"/>
  <c r="K4" i="9"/>
  <c r="I4" i="9"/>
  <c r="G4" i="9"/>
  <c r="E4" i="9"/>
  <c r="C4" i="9"/>
  <c r="K76" i="5" l="1"/>
  <c r="K75" i="5"/>
  <c r="K74" i="5"/>
  <c r="K73" i="5"/>
  <c r="K72" i="5"/>
  <c r="K71" i="5"/>
  <c r="K70" i="5"/>
  <c r="K69" i="5"/>
  <c r="K68" i="5"/>
  <c r="K67" i="5"/>
  <c r="K66" i="5"/>
  <c r="K62" i="5"/>
  <c r="K61" i="5"/>
  <c r="K60" i="5"/>
  <c r="K59" i="5"/>
  <c r="K58" i="5"/>
  <c r="K57" i="5"/>
  <c r="K56" i="5"/>
  <c r="K55" i="5"/>
  <c r="K54" i="5"/>
  <c r="K53" i="5"/>
  <c r="K52" i="5"/>
  <c r="K26" i="7" l="1"/>
  <c r="K25" i="7"/>
  <c r="K24" i="7"/>
  <c r="K23" i="7"/>
  <c r="K22" i="7"/>
  <c r="K21" i="7"/>
  <c r="K20" i="7"/>
  <c r="F26" i="7"/>
  <c r="F25" i="7"/>
  <c r="F24" i="7"/>
  <c r="F23" i="7"/>
  <c r="F22" i="7"/>
  <c r="F21" i="7"/>
  <c r="F20" i="7"/>
  <c r="K12" i="7"/>
  <c r="K11" i="7"/>
  <c r="K10" i="7"/>
  <c r="K9" i="7"/>
  <c r="K8" i="7"/>
  <c r="K7" i="7"/>
  <c r="K6" i="7"/>
  <c r="F12" i="7"/>
  <c r="F11" i="7"/>
  <c r="F10" i="7"/>
  <c r="F9" i="7"/>
  <c r="F8" i="7"/>
  <c r="F7" i="7"/>
  <c r="F6" i="7"/>
  <c r="K27" i="2"/>
  <c r="K26" i="2"/>
  <c r="K25" i="2"/>
  <c r="K24" i="2"/>
  <c r="K23" i="2"/>
  <c r="K22" i="2"/>
  <c r="K21" i="2"/>
  <c r="F27" i="2"/>
  <c r="F26" i="2"/>
  <c r="F25" i="2"/>
  <c r="F24" i="2"/>
  <c r="F30" i="2" s="1"/>
  <c r="F23" i="2"/>
  <c r="F22" i="2"/>
  <c r="F21" i="2"/>
  <c r="K13" i="2"/>
  <c r="K12" i="2"/>
  <c r="K11" i="2"/>
  <c r="K10" i="2"/>
  <c r="K16" i="2" s="1"/>
  <c r="K9" i="2"/>
  <c r="K8" i="2"/>
  <c r="K7" i="2"/>
  <c r="F13" i="2"/>
  <c r="F12" i="2"/>
  <c r="F11" i="2"/>
  <c r="F10" i="2"/>
  <c r="F9" i="2"/>
  <c r="F8" i="2"/>
  <c r="F16" i="2" s="1"/>
  <c r="F7" i="2"/>
  <c r="K12" i="8"/>
  <c r="F12" i="8"/>
  <c r="K11" i="8"/>
  <c r="F11" i="8"/>
  <c r="K10" i="8"/>
  <c r="F10" i="8"/>
  <c r="K9" i="8"/>
  <c r="F9" i="8"/>
  <c r="K8" i="8"/>
  <c r="F8" i="8"/>
  <c r="K7" i="8"/>
  <c r="K15" i="8" s="1"/>
  <c r="F7" i="8"/>
  <c r="F15" i="8" s="1"/>
  <c r="K6" i="8"/>
  <c r="F6" i="8"/>
  <c r="K52" i="6"/>
  <c r="F52" i="6"/>
  <c r="K51" i="6"/>
  <c r="F51" i="6"/>
  <c r="K50" i="6"/>
  <c r="F50" i="6"/>
  <c r="K49" i="6"/>
  <c r="F49" i="6"/>
  <c r="K48" i="6"/>
  <c r="F48" i="6"/>
  <c r="K47" i="6"/>
  <c r="K55" i="6" s="1"/>
  <c r="F47" i="6"/>
  <c r="F55" i="6" s="1"/>
  <c r="K46" i="6"/>
  <c r="F46" i="6"/>
  <c r="K38" i="6"/>
  <c r="F38" i="6"/>
  <c r="K37" i="6"/>
  <c r="F37" i="6"/>
  <c r="K36" i="6"/>
  <c r="F36" i="6"/>
  <c r="K35" i="6"/>
  <c r="F35" i="6"/>
  <c r="K34" i="6"/>
  <c r="K42" i="6" s="1"/>
  <c r="F34" i="6"/>
  <c r="K33" i="6"/>
  <c r="F33" i="6"/>
  <c r="K32" i="6"/>
  <c r="F32" i="6"/>
  <c r="F72" i="5"/>
  <c r="F71" i="5"/>
  <c r="F70" i="5"/>
  <c r="F69" i="5"/>
  <c r="F68" i="5"/>
  <c r="F76" i="5" s="1"/>
  <c r="F67" i="5"/>
  <c r="F66" i="5"/>
  <c r="F58" i="5"/>
  <c r="F57" i="5"/>
  <c r="F56" i="5"/>
  <c r="F55" i="5"/>
  <c r="F54" i="5"/>
  <c r="F62" i="5" s="1"/>
  <c r="F53" i="5"/>
  <c r="F52" i="5"/>
  <c r="K28" i="4"/>
  <c r="F28" i="4"/>
  <c r="K27" i="4"/>
  <c r="F27" i="4"/>
  <c r="K26" i="4"/>
  <c r="F26" i="4"/>
  <c r="K25" i="4"/>
  <c r="F25" i="4"/>
  <c r="K24" i="4"/>
  <c r="K32" i="4" s="1"/>
  <c r="F24" i="4"/>
  <c r="F32" i="4" s="1"/>
  <c r="K23" i="4"/>
  <c r="K31" i="4" s="1"/>
  <c r="F23" i="4"/>
  <c r="F31" i="4" s="1"/>
  <c r="K22" i="4"/>
  <c r="F22" i="4"/>
  <c r="K14" i="4"/>
  <c r="F14" i="4"/>
  <c r="K13" i="4"/>
  <c r="F13" i="4"/>
  <c r="K12" i="4"/>
  <c r="F12" i="4"/>
  <c r="K11" i="4"/>
  <c r="F11" i="4"/>
  <c r="K10" i="4"/>
  <c r="K18" i="4" s="1"/>
  <c r="F10" i="4"/>
  <c r="F18" i="4" s="1"/>
  <c r="K9" i="4"/>
  <c r="K17" i="4" s="1"/>
  <c r="F9" i="4"/>
  <c r="F17" i="4" s="1"/>
  <c r="K8" i="4"/>
  <c r="F8" i="4"/>
  <c r="K12" i="3"/>
  <c r="F12" i="3"/>
  <c r="K11" i="3"/>
  <c r="F11" i="3"/>
  <c r="K10" i="3"/>
  <c r="F10" i="3"/>
  <c r="K9" i="3"/>
  <c r="F9" i="3"/>
  <c r="K8" i="3"/>
  <c r="F8" i="3"/>
  <c r="K7" i="3"/>
  <c r="K15" i="3" s="1"/>
  <c r="F7" i="3"/>
  <c r="F15" i="3" s="1"/>
  <c r="K6" i="3"/>
  <c r="F6" i="3"/>
  <c r="K30" i="2"/>
  <c r="K33" i="1"/>
  <c r="F33" i="1"/>
  <c r="K32" i="1"/>
  <c r="F32" i="1"/>
  <c r="K31" i="1"/>
  <c r="F31" i="1"/>
  <c r="K30" i="1"/>
  <c r="F30" i="1"/>
  <c r="K29" i="1"/>
  <c r="K37" i="1" s="1"/>
  <c r="F29" i="1"/>
  <c r="F37" i="1" s="1"/>
  <c r="K28" i="1"/>
  <c r="K36" i="1" s="1"/>
  <c r="F28" i="1"/>
  <c r="F36" i="1" s="1"/>
  <c r="K27" i="1"/>
  <c r="F27" i="1"/>
  <c r="K19" i="1"/>
  <c r="F19" i="1"/>
  <c r="K18" i="1"/>
  <c r="F18" i="1"/>
  <c r="K17" i="1"/>
  <c r="F17" i="1"/>
  <c r="K16" i="1"/>
  <c r="F16" i="1"/>
  <c r="K15" i="1"/>
  <c r="K23" i="1" s="1"/>
  <c r="F15" i="1"/>
  <c r="F23" i="1" s="1"/>
  <c r="K14" i="1"/>
  <c r="K22" i="1" s="1"/>
  <c r="F14" i="1"/>
  <c r="F22" i="1" s="1"/>
  <c r="K13" i="1"/>
  <c r="F13" i="1"/>
  <c r="F41" i="6" l="1"/>
  <c r="F56" i="6"/>
  <c r="K56" i="6"/>
  <c r="F42" i="6"/>
  <c r="K41" i="6"/>
  <c r="F61" i="5"/>
  <c r="F75" i="5"/>
  <c r="K20" i="1"/>
  <c r="K14" i="2"/>
  <c r="K13" i="3"/>
  <c r="K29" i="4"/>
  <c r="K40" i="6"/>
  <c r="K53" i="6"/>
  <c r="K14" i="7"/>
  <c r="F21" i="1"/>
  <c r="F34" i="1"/>
  <c r="F15" i="2"/>
  <c r="F28" i="2"/>
  <c r="F14" i="3"/>
  <c r="F15" i="4"/>
  <c r="F30" i="4"/>
  <c r="F59" i="5"/>
  <c r="F74" i="5"/>
  <c r="F39" i="6"/>
  <c r="F54" i="6"/>
  <c r="F13" i="7"/>
  <c r="F28" i="7"/>
  <c r="F13" i="8"/>
  <c r="K35" i="1"/>
  <c r="K29" i="2"/>
  <c r="K16" i="4"/>
  <c r="K21" i="1"/>
  <c r="K34" i="1"/>
  <c r="K15" i="2"/>
  <c r="K28" i="2"/>
  <c r="K14" i="3"/>
  <c r="K15" i="4"/>
  <c r="K30" i="4"/>
  <c r="K39" i="6"/>
  <c r="K54" i="6"/>
  <c r="K13" i="7"/>
  <c r="K28" i="7"/>
  <c r="K13" i="8"/>
  <c r="F20" i="1"/>
  <c r="F35" i="1"/>
  <c r="F14" i="2"/>
  <c r="F29" i="2"/>
  <c r="F13" i="3"/>
  <c r="F16" i="4"/>
  <c r="F29" i="4"/>
  <c r="F60" i="5"/>
  <c r="F73" i="5"/>
  <c r="F40" i="6"/>
  <c r="F53" i="6"/>
  <c r="F14" i="7"/>
  <c r="F27" i="7"/>
  <c r="F14" i="8"/>
  <c r="K27" i="7"/>
  <c r="K14" i="8"/>
</calcChain>
</file>

<file path=xl/sharedStrings.xml><?xml version="1.0" encoding="utf-8"?>
<sst xmlns="http://schemas.openxmlformats.org/spreadsheetml/2006/main" count="1707" uniqueCount="338">
  <si>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</si>
  <si>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</si>
  <si>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</si>
  <si>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</si>
  <si>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</si>
  <si>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</si>
  <si>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</si>
  <si>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</si>
  <si>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</si>
  <si>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</si>
  <si>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</si>
  <si>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</si>
  <si>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</si>
  <si>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</si>
  <si>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</si>
  <si>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</si>
  <si>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</si>
  <si>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</si>
  <si>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PI</t>
  </si>
  <si>
    <t>30:5_FP</t>
  </si>
  <si>
    <t>-H</t>
  </si>
  <si>
    <t>30:5</t>
  </si>
  <si>
    <t>not reported</t>
  </si>
  <si>
    <t>31:5_FP</t>
  </si>
  <si>
    <t>31:5</t>
  </si>
  <si>
    <t>34:2</t>
  </si>
  <si>
    <t>22.1</t>
  </si>
  <si>
    <t>22.03</t>
  </si>
  <si>
    <t>36:4</t>
  </si>
  <si>
    <t>16:0/20:4</t>
  </si>
  <si>
    <t>22.0</t>
  </si>
  <si>
    <t xml:space="preserve">22.03 </t>
  </si>
  <si>
    <t>37:4</t>
  </si>
  <si>
    <t>17:0/20:4</t>
  </si>
  <si>
    <t>22.8</t>
  </si>
  <si>
    <t xml:space="preserve">22.91 </t>
  </si>
  <si>
    <t>38:3</t>
  </si>
  <si>
    <t>20:3/18:0 18:0/20:3</t>
  </si>
  <si>
    <t>38:4</t>
  </si>
  <si>
    <t>18:0/20:4</t>
  </si>
  <si>
    <t>23.8</t>
  </si>
  <si>
    <t xml:space="preserve">23.78 </t>
  </si>
  <si>
    <t>23.68257 23.92777</t>
  </si>
  <si>
    <t>38:5</t>
  </si>
  <si>
    <t>18:1/20:4</t>
  </si>
  <si>
    <t>22.3</t>
  </si>
  <si>
    <t xml:space="preserve">22.41 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</si>
  <si>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</si>
  <si>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</si>
  <si>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</si>
  <si>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</si>
  <si>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</si>
  <si>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</si>
  <si>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</si>
  <si>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</si>
  <si>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</si>
  <si>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</si>
  <si>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</si>
  <si>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</si>
  <si>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</si>
  <si>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</si>
  <si>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</si>
  <si>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</si>
  <si>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</si>
  <si>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</si>
  <si>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</si>
  <si>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</si>
  <si>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</si>
  <si>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</si>
  <si>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</si>
  <si>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</si>
  <si>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</si>
  <si>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</si>
  <si>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</si>
  <si>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</si>
  <si>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</si>
  <si>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</si>
  <si>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</si>
  <si>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P-16:0/20:4</t>
  </si>
  <si>
    <t>25.8</t>
  </si>
  <si>
    <t xml:space="preserve">25.76 </t>
  </si>
  <si>
    <t>LPE</t>
  </si>
  <si>
    <t>18:0</t>
  </si>
  <si>
    <t>11.0</t>
  </si>
  <si>
    <t>11.13</t>
  </si>
  <si>
    <t>PS</t>
  </si>
  <si>
    <t>24.3</t>
  </si>
  <si>
    <t xml:space="preserve">24.14 </t>
  </si>
  <si>
    <t>24.1317</t>
  </si>
  <si>
    <t>40:6</t>
  </si>
  <si>
    <t>18:0/22:6</t>
  </si>
  <si>
    <t>22:6/18:0 18:0/22:6</t>
  </si>
  <si>
    <t>24.1</t>
  </si>
  <si>
    <t xml:space="preserve">23.89 </t>
  </si>
  <si>
    <t>23.7622 23.7622</t>
  </si>
  <si>
    <t>PC</t>
  </si>
  <si>
    <t>32:2_noMS2</t>
  </si>
  <si>
    <t>HCOO</t>
  </si>
  <si>
    <t>32:2</t>
  </si>
  <si>
    <t>23.6</t>
  </si>
  <si>
    <t>24.01</t>
  </si>
  <si>
    <t>not counted: only MS1 identification</t>
  </si>
  <si>
    <t>34:1</t>
  </si>
  <si>
    <t>16:0/18:1</t>
  </si>
  <si>
    <t>26.5</t>
  </si>
  <si>
    <t xml:space="preserve">26.60 </t>
  </si>
  <si>
    <t>16:0/18:2</t>
  </si>
  <si>
    <t>25.1</t>
  </si>
  <si>
    <t xml:space="preserve">25.26 </t>
  </si>
  <si>
    <t>25.09792</t>
  </si>
  <si>
    <t>-CH3</t>
  </si>
  <si>
    <t>34:3_noMS2</t>
  </si>
  <si>
    <t>34:3</t>
  </si>
  <si>
    <t>24.0</t>
  </si>
  <si>
    <t>34:4_noMS2</t>
  </si>
  <si>
    <t>34:4</t>
  </si>
  <si>
    <t>23.3</t>
  </si>
  <si>
    <t>23.53</t>
  </si>
  <si>
    <t>35:2_noMS2</t>
  </si>
  <si>
    <t>35:2</t>
  </si>
  <si>
    <t>26.1</t>
  </si>
  <si>
    <t>26.25</t>
  </si>
  <si>
    <t>35:3_noMS2</t>
  </si>
  <si>
    <t>35:3</t>
  </si>
  <si>
    <t>24.8</t>
  </si>
  <si>
    <t>24.89</t>
  </si>
  <si>
    <t>36:1</t>
  </si>
  <si>
    <t>18:0/18:1</t>
  </si>
  <si>
    <t>28.5</t>
  </si>
  <si>
    <t xml:space="preserve">28.44 </t>
  </si>
  <si>
    <t>36:2</t>
  </si>
  <si>
    <t>18:0/18:2</t>
  </si>
  <si>
    <t>27.1</t>
  </si>
  <si>
    <t xml:space="preserve">27.07 </t>
  </si>
  <si>
    <t>27.62485</t>
  </si>
  <si>
    <t>36:3</t>
  </si>
  <si>
    <t>16:0/20:3</t>
  </si>
  <si>
    <t>16:0/20:3 20:3/16:0</t>
  </si>
  <si>
    <t>25.6</t>
  </si>
  <si>
    <t>25.91537 25.91537</t>
  </si>
  <si>
    <t>18:1/18:2</t>
  </si>
  <si>
    <t>25.62427</t>
  </si>
  <si>
    <t xml:space="preserve">25.01 </t>
  </si>
  <si>
    <t>25.1668</t>
  </si>
  <si>
    <t>24.97325</t>
  </si>
  <si>
    <t>37:2_noMS2</t>
  </si>
  <si>
    <t>37:2</t>
  </si>
  <si>
    <t>28.0</t>
  </si>
  <si>
    <t>27.94</t>
  </si>
  <si>
    <t>37:4_noMS2</t>
  </si>
  <si>
    <t>26.01</t>
  </si>
  <si>
    <t>38:1_noMS2</t>
  </si>
  <si>
    <t>38:1</t>
  </si>
  <si>
    <t>30.5</t>
  </si>
  <si>
    <t>30.17</t>
  </si>
  <si>
    <t>18:0/20:3</t>
  </si>
  <si>
    <t>27.6</t>
  </si>
  <si>
    <t xml:space="preserve">27.57 </t>
  </si>
  <si>
    <t>27.72187 28.02457 27.72187 28.02457</t>
  </si>
  <si>
    <t>26.6</t>
  </si>
  <si>
    <t xml:space="preserve">26.71 </t>
  </si>
  <si>
    <t>26.62878 26.85982 27.16027</t>
  </si>
  <si>
    <t>26.74098</t>
  </si>
  <si>
    <t>25.3</t>
  </si>
  <si>
    <t xml:space="preserve">25.51 </t>
  </si>
  <si>
    <t>25.47172 25.66565</t>
  </si>
  <si>
    <t>38:6</t>
  </si>
  <si>
    <t>16:0/22:6</t>
  </si>
  <si>
    <t>22:6/16:0 16:0/22:6</t>
  </si>
  <si>
    <t>24.6</t>
  </si>
  <si>
    <t xml:space="preserve">24.64 </t>
  </si>
  <si>
    <t>24.50512 24.82075 24.50512 24.82075</t>
  </si>
  <si>
    <t>18:2/20:4</t>
  </si>
  <si>
    <t>24.20085</t>
  </si>
  <si>
    <t>22:6/16:0</t>
  </si>
  <si>
    <t>39:6_noMS2</t>
  </si>
  <si>
    <t>39:6</t>
  </si>
  <si>
    <t>25.39</t>
  </si>
  <si>
    <t>39:7_noMS2</t>
  </si>
  <si>
    <t>39:7</t>
  </si>
  <si>
    <t>24.5</t>
  </si>
  <si>
    <t>23.89</t>
  </si>
  <si>
    <t>40:4_noMS2</t>
  </si>
  <si>
    <t>40:4</t>
  </si>
  <si>
    <t>28.1</t>
  </si>
  <si>
    <t>28.69</t>
  </si>
  <si>
    <t>40:5_noMS2</t>
  </si>
  <si>
    <t>40:5</t>
  </si>
  <si>
    <t>27.3</t>
  </si>
  <si>
    <t>27.57</t>
  </si>
  <si>
    <t>22:6_18:0</t>
  </si>
  <si>
    <t xml:space="preserve">26.25 </t>
  </si>
  <si>
    <t>26.16498 26.42932 26.16498 26.42932</t>
  </si>
  <si>
    <t>22:6/18:0</t>
  </si>
  <si>
    <t>40:7_noMS2</t>
  </si>
  <si>
    <t>40:7</t>
  </si>
  <si>
    <t>40:8_noMS2</t>
  </si>
  <si>
    <t>40:8</t>
  </si>
  <si>
    <t>41:6_noMS2</t>
  </si>
  <si>
    <t>41:6</t>
  </si>
  <si>
    <t>27.0</t>
  </si>
  <si>
    <t>27.44</t>
  </si>
  <si>
    <t>42:7_noMS2</t>
  </si>
  <si>
    <t>42:7</t>
  </si>
  <si>
    <t>26.71</t>
  </si>
  <si>
    <t>42:9_noMS2</t>
  </si>
  <si>
    <t>42:9</t>
  </si>
  <si>
    <t>24.64</t>
  </si>
  <si>
    <t>PE</t>
  </si>
  <si>
    <t>24:0</t>
  </si>
  <si>
    <t>12:0/12:0</t>
  </si>
  <si>
    <t>17.6</t>
  </si>
  <si>
    <t xml:space="preserve">17.76 </t>
  </si>
  <si>
    <t>34:0_noMS2</t>
  </si>
  <si>
    <t>34:0</t>
  </si>
  <si>
    <t>18:1_16:0</t>
  </si>
  <si>
    <t>26.3</t>
  </si>
  <si>
    <t>25.0</t>
  </si>
  <si>
    <t>25.89</t>
  </si>
  <si>
    <t>20:1_16:0_FP</t>
  </si>
  <si>
    <t>20:1_16:0</t>
  </si>
  <si>
    <t>18:2_18:0</t>
  </si>
  <si>
    <t>26.8</t>
  </si>
  <si>
    <t>18:2_18:1</t>
  </si>
  <si>
    <t xml:space="preserve">25.39 </t>
  </si>
  <si>
    <t xml:space="preserve">24.89 </t>
  </si>
  <si>
    <t>24.91760</t>
  </si>
  <si>
    <t>18:2/18:2</t>
  </si>
  <si>
    <t>36:5</t>
  </si>
  <si>
    <t>16:1/20:4</t>
  </si>
  <si>
    <t>20:4_16:1</t>
  </si>
  <si>
    <t>23.5</t>
  </si>
  <si>
    <t xml:space="preserve">23.53 </t>
  </si>
  <si>
    <t>25.76</t>
  </si>
  <si>
    <t xml:space="preserve">26.50 </t>
  </si>
  <si>
    <t>25.29143</t>
  </si>
  <si>
    <t xml:space="preserve">24.39 </t>
  </si>
  <si>
    <t>24.35335 24.54628 24.35335 24.54628</t>
  </si>
  <si>
    <t>38:7</t>
  </si>
  <si>
    <t>16:1/22:6</t>
  </si>
  <si>
    <t>22:6/16:1</t>
  </si>
  <si>
    <t>23.1</t>
  </si>
  <si>
    <t xml:space="preserve">23.16 </t>
  </si>
  <si>
    <t>18:3/20:4</t>
  </si>
  <si>
    <t>39:0_FP</t>
  </si>
  <si>
    <t>39:0</t>
  </si>
  <si>
    <t>21:0/18:0_FP</t>
  </si>
  <si>
    <t>21:0/18:0</t>
  </si>
  <si>
    <t xml:space="preserve">24.76 </t>
  </si>
  <si>
    <t>25.26</t>
  </si>
  <si>
    <t>18:0_22:6</t>
  </si>
  <si>
    <t>26.0</t>
  </si>
  <si>
    <t xml:space="preserve">26.01 </t>
  </si>
  <si>
    <t>25.99887 25.99887</t>
  </si>
  <si>
    <t>18:1/22:6</t>
  </si>
  <si>
    <t>18:2/22:6</t>
  </si>
  <si>
    <t>Cer</t>
  </si>
  <si>
    <t>24:1</t>
  </si>
  <si>
    <t>30.6</t>
  </si>
  <si>
    <t>30.66</t>
  </si>
  <si>
    <t>LDA: removed by MS1 algorithm (+1 isotope)</t>
  </si>
  <si>
    <t>LDA: FP</t>
  </si>
  <si>
    <t>P-18:0/20:4</t>
  </si>
  <si>
    <t>LDA: fragmentation rules</t>
  </si>
  <si>
    <t>NA</t>
  </si>
  <si>
    <t>LDA: this spectrum consists of noise only</t>
  </si>
  <si>
    <t>18:0/16:0</t>
  </si>
  <si>
    <t>LDA: the spectrum is outside the peak borders</t>
  </si>
  <si>
    <t>38:2</t>
  </si>
  <si>
    <t>18:0/20:2</t>
  </si>
  <si>
    <t>28.6</t>
  </si>
  <si>
    <t>18:1/22:5</t>
  </si>
  <si>
    <t>LB: there are whether for 18:1 nor for 22:5 fragments present, but it has been found on other platforms -&gt; correct</t>
  </si>
  <si>
    <t>LDA: FP - spectrum is at second isotopic peak of PE 36:2</t>
  </si>
  <si>
    <t>18:3/18:2</t>
  </si>
  <si>
    <t>LDA: spectrum is outside MS1 peak borders</t>
  </si>
  <si>
    <t>LDA: MS1 algorithm</t>
  </si>
  <si>
    <t>LDA: retention time impossible</t>
  </si>
  <si>
    <t>PG</t>
  </si>
  <si>
    <t>23.0</t>
  </si>
  <si>
    <t>23.08723</t>
  </si>
  <si>
    <t>LDA: missed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</si>
  <si>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</si>
  <si>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</si>
  <si>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</si>
  <si>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</si>
  <si>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</si>
  <si>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</si>
  <si>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</si>
  <si>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</si>
  <si>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</si>
  <si>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5/6</t>
  </si>
  <si>
    <t>2/6</t>
  </si>
  <si>
    <t>5/7</t>
  </si>
  <si>
    <t>2/2</t>
  </si>
  <si>
    <t>4/5</t>
  </si>
  <si>
    <t>2/5</t>
  </si>
  <si>
    <t>4/4</t>
  </si>
  <si>
    <t>1/2</t>
  </si>
  <si>
    <t>0/2</t>
  </si>
  <si>
    <t>1/1</t>
  </si>
  <si>
    <t>0/1</t>
  </si>
  <si>
    <t>2/3</t>
  </si>
  <si>
    <t>20/22</t>
  </si>
  <si>
    <t>12/22</t>
  </si>
  <si>
    <t>20/20</t>
  </si>
  <si>
    <t>12/12</t>
  </si>
  <si>
    <t>23/27</t>
  </si>
  <si>
    <t>14/27</t>
  </si>
  <si>
    <t>23/23</t>
  </si>
  <si>
    <t>14/14</t>
  </si>
  <si>
    <t>14/16</t>
  </si>
  <si>
    <t>4/16</t>
  </si>
  <si>
    <t>17/20</t>
  </si>
  <si>
    <t>4/20</t>
  </si>
  <si>
    <t>Total</t>
  </si>
  <si>
    <t>44/52</t>
  </si>
  <si>
    <t>44/48</t>
  </si>
  <si>
    <t>47/58</t>
  </si>
  <si>
    <t>22/58</t>
  </si>
  <si>
    <t>22/22</t>
  </si>
  <si>
    <t>11/13</t>
  </si>
  <si>
    <t>9/13</t>
  </si>
  <si>
    <t>11/11</t>
  </si>
  <si>
    <t>9/9</t>
  </si>
  <si>
    <t>13/17</t>
  </si>
  <si>
    <t>11/17</t>
  </si>
  <si>
    <t>13/13</t>
  </si>
  <si>
    <t>35/43</t>
  </si>
  <si>
    <t>17/43</t>
  </si>
  <si>
    <t>35/39</t>
  </si>
  <si>
    <t>17/17</t>
  </si>
  <si>
    <t>37/48</t>
  </si>
  <si>
    <t>19/48</t>
  </si>
  <si>
    <t>37/40</t>
  </si>
  <si>
    <t>19/19</t>
  </si>
  <si>
    <t>20/52</t>
  </si>
  <si>
    <t>47/50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</si>
</sst>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49" fontId="7" fillId="0" borderId="0" xfId="0" applyNumberFormat="1" applyFont="1"/>
    <xf numFmtId="0" fontId="8" fillId="0" borderId="0" xfId="0" applyFont="1"/>
    <xf numFmtId="0" fontId="7" fillId="0" borderId="0" xfId="0" applyFont="1"/>
    <xf numFmtId="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0" fillId="0" borderId="0" xfId="0" applyFont="1"/>
    <xf numFmtId="49" fontId="11" fillId="0" borderId="0" xfId="0" applyNumberFormat="1" applyFont="1" applyAlignment="1">
      <alignment horizontal="center"/>
    </xf>
    <xf numFmtId="9" fontId="11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N14" sqref="N14"/>
    </sheetView>
  </sheetViews>
  <sheetFormatPr baseColWidth="10" defaultRowHeight="15" x14ac:dyDescent="0.25"/>
  <sheetData>
    <row r="1" spans="1:17" ht="18.75" x14ac:dyDescent="0.3">
      <c r="A1" s="14" t="s">
        <v>282</v>
      </c>
    </row>
    <row r="2" spans="1:17" ht="15.75" x14ac:dyDescent="0.25">
      <c r="A2" s="3"/>
    </row>
    <row r="3" spans="1:17" ht="15.75" x14ac:dyDescent="0.25">
      <c r="B3" s="22" t="s">
        <v>283</v>
      </c>
      <c r="C3" s="22"/>
      <c r="D3" s="22" t="s">
        <v>284</v>
      </c>
      <c r="E3" s="22"/>
      <c r="F3" s="22" t="s">
        <v>285</v>
      </c>
      <c r="G3" s="22"/>
      <c r="H3" s="22" t="s">
        <v>286</v>
      </c>
      <c r="I3" s="22"/>
      <c r="J3" s="22" t="s">
        <v>287</v>
      </c>
      <c r="K3" s="22"/>
      <c r="L3" s="22" t="s">
        <v>288</v>
      </c>
      <c r="M3" s="22"/>
      <c r="N3" s="22" t="s">
        <v>289</v>
      </c>
      <c r="O3" s="22"/>
      <c r="P3" s="22" t="s">
        <v>290</v>
      </c>
      <c r="Q3" s="22"/>
    </row>
    <row r="4" spans="1:17" ht="15.75" x14ac:dyDescent="0.25">
      <c r="A4" s="3" t="s">
        <v>18</v>
      </c>
      <c r="B4" s="15" t="s">
        <v>291</v>
      </c>
      <c r="C4" s="16">
        <f>5/6</f>
        <v>0.83333333333333337</v>
      </c>
      <c r="D4" s="15" t="s">
        <v>292</v>
      </c>
      <c r="E4" s="16">
        <f>2/6</f>
        <v>0.33333333333333331</v>
      </c>
      <c r="F4" s="15" t="s">
        <v>293</v>
      </c>
      <c r="G4" s="16">
        <f>5/7</f>
        <v>0.7142857142857143</v>
      </c>
      <c r="H4" s="15" t="s">
        <v>294</v>
      </c>
      <c r="I4" s="16">
        <f>2/2</f>
        <v>1</v>
      </c>
      <c r="J4" s="15" t="s">
        <v>295</v>
      </c>
      <c r="K4" s="16">
        <f>4/5</f>
        <v>0.8</v>
      </c>
      <c r="L4" s="15" t="s">
        <v>296</v>
      </c>
      <c r="M4" s="16">
        <f>2/5</f>
        <v>0.4</v>
      </c>
      <c r="N4" s="15" t="s">
        <v>297</v>
      </c>
      <c r="O4" s="16">
        <f>4/4</f>
        <v>1</v>
      </c>
      <c r="P4" s="15" t="s">
        <v>294</v>
      </c>
      <c r="Q4" s="16">
        <f>2/2</f>
        <v>1</v>
      </c>
    </row>
    <row r="5" spans="1:17" ht="15.75" x14ac:dyDescent="0.25">
      <c r="A5" s="3" t="s">
        <v>77</v>
      </c>
      <c r="B5" s="15" t="s">
        <v>298</v>
      </c>
      <c r="C5" s="16">
        <f>1/2</f>
        <v>0.5</v>
      </c>
      <c r="D5" s="15" t="s">
        <v>299</v>
      </c>
      <c r="E5" s="16">
        <f>0/2</f>
        <v>0</v>
      </c>
      <c r="F5" s="15" t="s">
        <v>300</v>
      </c>
      <c r="G5" s="16">
        <f>1/1</f>
        <v>1</v>
      </c>
      <c r="H5" s="15" t="s">
        <v>264</v>
      </c>
      <c r="I5" s="16" t="s">
        <v>264</v>
      </c>
      <c r="J5" s="15" t="s">
        <v>298</v>
      </c>
      <c r="K5" s="16">
        <f>1/2</f>
        <v>0.5</v>
      </c>
      <c r="L5" s="15" t="s">
        <v>299</v>
      </c>
      <c r="M5" s="16">
        <f>0/2</f>
        <v>0</v>
      </c>
      <c r="N5" s="15" t="s">
        <v>300</v>
      </c>
      <c r="O5" s="16">
        <f>1/1</f>
        <v>1</v>
      </c>
      <c r="P5" s="15" t="s">
        <v>264</v>
      </c>
      <c r="Q5" s="16" t="s">
        <v>264</v>
      </c>
    </row>
    <row r="6" spans="1:17" ht="15.75" x14ac:dyDescent="0.25">
      <c r="A6" s="3" t="s">
        <v>81</v>
      </c>
      <c r="B6" s="15" t="s">
        <v>300</v>
      </c>
      <c r="C6" s="16">
        <f>1/1</f>
        <v>1</v>
      </c>
      <c r="D6" s="15" t="s">
        <v>301</v>
      </c>
      <c r="E6" s="16">
        <f>0/1</f>
        <v>0</v>
      </c>
      <c r="F6" s="15" t="s">
        <v>300</v>
      </c>
      <c r="G6" s="16">
        <f>1/1</f>
        <v>1</v>
      </c>
      <c r="H6" s="15" t="s">
        <v>264</v>
      </c>
      <c r="I6" s="16" t="s">
        <v>264</v>
      </c>
      <c r="J6" s="15" t="s">
        <v>264</v>
      </c>
      <c r="K6" s="15" t="s">
        <v>264</v>
      </c>
      <c r="L6" s="15" t="s">
        <v>264</v>
      </c>
      <c r="M6" s="16" t="s">
        <v>264</v>
      </c>
      <c r="N6" s="15" t="s">
        <v>264</v>
      </c>
      <c r="O6" s="15" t="s">
        <v>264</v>
      </c>
      <c r="P6" s="15" t="s">
        <v>264</v>
      </c>
      <c r="Q6" s="16" t="s">
        <v>264</v>
      </c>
    </row>
    <row r="7" spans="1:17" ht="15.75" x14ac:dyDescent="0.25">
      <c r="A7" s="3" t="s">
        <v>85</v>
      </c>
      <c r="B7" s="15" t="s">
        <v>302</v>
      </c>
      <c r="C7" s="16">
        <f>2/3</f>
        <v>0.66666666666666663</v>
      </c>
      <c r="D7" s="15" t="s">
        <v>302</v>
      </c>
      <c r="E7" s="16">
        <f>2/3</f>
        <v>0.66666666666666663</v>
      </c>
      <c r="F7" s="15" t="s">
        <v>294</v>
      </c>
      <c r="G7" s="16">
        <f>2/2</f>
        <v>1</v>
      </c>
      <c r="H7" s="15" t="s">
        <v>294</v>
      </c>
      <c r="I7" s="16">
        <f>2/2</f>
        <v>1</v>
      </c>
      <c r="J7" s="15" t="s">
        <v>302</v>
      </c>
      <c r="K7" s="16">
        <f>2/3</f>
        <v>0.66666666666666663</v>
      </c>
      <c r="L7" s="15" t="s">
        <v>302</v>
      </c>
      <c r="M7" s="16">
        <f>2/3</f>
        <v>0.66666666666666663</v>
      </c>
      <c r="N7" s="15" t="s">
        <v>294</v>
      </c>
      <c r="O7" s="16">
        <f>2/2</f>
        <v>1</v>
      </c>
      <c r="P7" s="15" t="s">
        <v>294</v>
      </c>
      <c r="Q7" s="16">
        <f>2/2</f>
        <v>1</v>
      </c>
    </row>
    <row r="8" spans="1:17" ht="15.75" x14ac:dyDescent="0.25">
      <c r="A8" s="3" t="s">
        <v>95</v>
      </c>
      <c r="B8" s="15" t="s">
        <v>303</v>
      </c>
      <c r="C8" s="16">
        <f>20/22</f>
        <v>0.90909090909090906</v>
      </c>
      <c r="D8" s="15" t="s">
        <v>304</v>
      </c>
      <c r="E8" s="16">
        <f>12/22</f>
        <v>0.54545454545454541</v>
      </c>
      <c r="F8" s="15" t="s">
        <v>305</v>
      </c>
      <c r="G8" s="16">
        <f>20/20</f>
        <v>1</v>
      </c>
      <c r="H8" s="15" t="s">
        <v>306</v>
      </c>
      <c r="I8" s="16">
        <f>12/12</f>
        <v>1</v>
      </c>
      <c r="J8" s="15" t="s">
        <v>307</v>
      </c>
      <c r="K8" s="16">
        <f>23/27</f>
        <v>0.85185185185185186</v>
      </c>
      <c r="L8" s="15" t="s">
        <v>308</v>
      </c>
      <c r="M8" s="16">
        <f>14/27</f>
        <v>0.51851851851851849</v>
      </c>
      <c r="N8" s="15" t="s">
        <v>309</v>
      </c>
      <c r="O8" s="16">
        <f>23/23</f>
        <v>1</v>
      </c>
      <c r="P8" s="15" t="s">
        <v>310</v>
      </c>
      <c r="Q8" s="16">
        <f>14/14</f>
        <v>1</v>
      </c>
    </row>
    <row r="9" spans="1:17" ht="15.75" x14ac:dyDescent="0.25">
      <c r="A9" s="3" t="s">
        <v>208</v>
      </c>
      <c r="B9" s="15" t="s">
        <v>311</v>
      </c>
      <c r="C9" s="16">
        <f>14/16</f>
        <v>0.875</v>
      </c>
      <c r="D9" s="15" t="s">
        <v>312</v>
      </c>
      <c r="E9" s="16">
        <f>4/16</f>
        <v>0.25</v>
      </c>
      <c r="F9" s="15" t="s">
        <v>311</v>
      </c>
      <c r="G9" s="16">
        <f>14/16</f>
        <v>0.875</v>
      </c>
      <c r="H9" s="15" t="s">
        <v>297</v>
      </c>
      <c r="I9" s="16">
        <f>4/4</f>
        <v>1</v>
      </c>
      <c r="J9" s="15" t="s">
        <v>313</v>
      </c>
      <c r="K9" s="16">
        <f>17/20</f>
        <v>0.85</v>
      </c>
      <c r="L9" s="15" t="s">
        <v>314</v>
      </c>
      <c r="M9" s="16">
        <f>4/20</f>
        <v>0.2</v>
      </c>
      <c r="N9" s="15" t="s">
        <v>313</v>
      </c>
      <c r="O9" s="16">
        <f>17/20</f>
        <v>0.85</v>
      </c>
      <c r="P9" s="15" t="s">
        <v>297</v>
      </c>
      <c r="Q9" s="16">
        <f>4/4</f>
        <v>1</v>
      </c>
    </row>
    <row r="10" spans="1:17" ht="15.75" x14ac:dyDescent="0.25">
      <c r="A10" s="3" t="s">
        <v>278</v>
      </c>
      <c r="B10" s="15" t="s">
        <v>301</v>
      </c>
      <c r="C10" s="16">
        <f>0/1</f>
        <v>0</v>
      </c>
      <c r="D10" s="15" t="s">
        <v>301</v>
      </c>
      <c r="E10" s="16">
        <f>0/1</f>
        <v>0</v>
      </c>
      <c r="F10" s="15" t="s">
        <v>264</v>
      </c>
      <c r="G10" s="15" t="s">
        <v>264</v>
      </c>
      <c r="H10" s="15" t="s">
        <v>264</v>
      </c>
      <c r="I10" s="15" t="s">
        <v>264</v>
      </c>
      <c r="J10" s="15" t="s">
        <v>301</v>
      </c>
      <c r="K10" s="16">
        <f>0/1</f>
        <v>0</v>
      </c>
      <c r="L10" s="15" t="s">
        <v>301</v>
      </c>
      <c r="M10" s="16">
        <f>0/1</f>
        <v>0</v>
      </c>
      <c r="N10" s="15" t="s">
        <v>264</v>
      </c>
      <c r="O10" s="15" t="s">
        <v>264</v>
      </c>
      <c r="P10" s="15" t="s">
        <v>264</v>
      </c>
      <c r="Q10" s="15" t="s">
        <v>264</v>
      </c>
    </row>
    <row r="11" spans="1:17" ht="15.75" x14ac:dyDescent="0.25">
      <c r="A11" s="3" t="s">
        <v>256</v>
      </c>
      <c r="B11" s="15" t="s">
        <v>300</v>
      </c>
      <c r="C11" s="16">
        <f>1/1</f>
        <v>1</v>
      </c>
      <c r="D11" s="15" t="s">
        <v>301</v>
      </c>
      <c r="E11" s="16">
        <f>0/1</f>
        <v>0</v>
      </c>
      <c r="F11" s="15" t="s">
        <v>300</v>
      </c>
      <c r="G11" s="16">
        <f>1/1</f>
        <v>1</v>
      </c>
      <c r="H11" s="15" t="s">
        <v>264</v>
      </c>
      <c r="I11" s="15" t="s">
        <v>264</v>
      </c>
      <c r="J11" s="15" t="s">
        <v>264</v>
      </c>
      <c r="K11" s="15" t="s">
        <v>264</v>
      </c>
      <c r="L11" s="15" t="s">
        <v>264</v>
      </c>
      <c r="M11" s="16" t="s">
        <v>264</v>
      </c>
      <c r="N11" s="15" t="s">
        <v>264</v>
      </c>
      <c r="O11" s="15" t="s">
        <v>264</v>
      </c>
      <c r="P11" s="15" t="s">
        <v>264</v>
      </c>
      <c r="Q11" s="16" t="s">
        <v>264</v>
      </c>
    </row>
    <row r="12" spans="1:17" x14ac:dyDescent="0.25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17" ht="15.75" x14ac:dyDescent="0.25">
      <c r="A13" s="3" t="s">
        <v>315</v>
      </c>
      <c r="B13" s="15" t="s">
        <v>316</v>
      </c>
      <c r="C13" s="16">
        <f>44/52</f>
        <v>0.84615384615384615</v>
      </c>
      <c r="D13" s="15" t="s">
        <v>336</v>
      </c>
      <c r="E13" s="16">
        <f>20/52</f>
        <v>0.38461538461538464</v>
      </c>
      <c r="F13" s="15" t="s">
        <v>317</v>
      </c>
      <c r="G13" s="16">
        <f>44/48</f>
        <v>0.91666666666666663</v>
      </c>
      <c r="H13" s="15" t="s">
        <v>305</v>
      </c>
      <c r="I13" s="16">
        <f>20/20</f>
        <v>1</v>
      </c>
      <c r="J13" s="15" t="s">
        <v>318</v>
      </c>
      <c r="K13" s="16">
        <f>47/58</f>
        <v>0.81034482758620685</v>
      </c>
      <c r="L13" s="15" t="s">
        <v>319</v>
      </c>
      <c r="M13" s="16">
        <f>22/58</f>
        <v>0.37931034482758619</v>
      </c>
      <c r="N13" s="15" t="s">
        <v>337</v>
      </c>
      <c r="O13" s="16">
        <f>45/50</f>
        <v>0.9</v>
      </c>
      <c r="P13" s="15" t="s">
        <v>320</v>
      </c>
      <c r="Q13" s="16">
        <f>22/22</f>
        <v>1</v>
      </c>
    </row>
    <row r="14" spans="1:17" x14ac:dyDescent="0.25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0"/>
      <c r="Q14" s="19"/>
    </row>
    <row r="15" spans="1:17" x14ac:dyDescent="0.25">
      <c r="P15" s="20"/>
      <c r="Q15" s="19"/>
    </row>
    <row r="16" spans="1:17" x14ac:dyDescent="0.25">
      <c r="P16" s="20"/>
      <c r="Q16" s="19"/>
    </row>
    <row r="17" spans="1:17" x14ac:dyDescent="0.25">
      <c r="P17" s="20"/>
      <c r="Q17" s="19"/>
    </row>
    <row r="18" spans="1:17" ht="18.75" x14ac:dyDescent="0.3">
      <c r="A18" s="14" t="s">
        <v>48</v>
      </c>
      <c r="P18" s="20"/>
      <c r="Q18" s="19"/>
    </row>
    <row r="19" spans="1:17" x14ac:dyDescent="0.25">
      <c r="P19" s="21"/>
    </row>
    <row r="20" spans="1:17" ht="15.75" x14ac:dyDescent="0.25">
      <c r="B20" s="22" t="s">
        <v>283</v>
      </c>
      <c r="C20" s="22"/>
      <c r="D20" s="22" t="s">
        <v>284</v>
      </c>
      <c r="E20" s="22"/>
      <c r="F20" s="22" t="s">
        <v>285</v>
      </c>
      <c r="G20" s="22"/>
      <c r="H20" s="22" t="s">
        <v>286</v>
      </c>
      <c r="I20" s="22"/>
      <c r="J20" s="22" t="s">
        <v>287</v>
      </c>
      <c r="K20" s="22"/>
      <c r="L20" s="22" t="s">
        <v>288</v>
      </c>
      <c r="M20" s="22"/>
      <c r="N20" s="22" t="s">
        <v>289</v>
      </c>
      <c r="O20" s="22"/>
      <c r="P20" s="22" t="s">
        <v>290</v>
      </c>
      <c r="Q20" s="22"/>
    </row>
    <row r="21" spans="1:17" ht="15.75" x14ac:dyDescent="0.25">
      <c r="A21" s="3" t="s">
        <v>18</v>
      </c>
      <c r="B21" s="15" t="s">
        <v>291</v>
      </c>
      <c r="C21" s="16">
        <f>5/6</f>
        <v>0.83333333333333337</v>
      </c>
      <c r="D21" s="15" t="s">
        <v>292</v>
      </c>
      <c r="E21" s="16">
        <f>2/6</f>
        <v>0.33333333333333331</v>
      </c>
      <c r="F21" s="15" t="s">
        <v>293</v>
      </c>
      <c r="G21" s="16">
        <f>5/7</f>
        <v>0.7142857142857143</v>
      </c>
      <c r="H21" s="15" t="s">
        <v>294</v>
      </c>
      <c r="I21" s="16">
        <f>2/2</f>
        <v>1</v>
      </c>
      <c r="J21" s="15" t="s">
        <v>295</v>
      </c>
      <c r="K21" s="16">
        <f>4/5</f>
        <v>0.8</v>
      </c>
      <c r="L21" s="15" t="s">
        <v>296</v>
      </c>
      <c r="M21" s="16">
        <f>2/5</f>
        <v>0.4</v>
      </c>
      <c r="N21" s="15" t="s">
        <v>297</v>
      </c>
      <c r="O21" s="16">
        <f>4/4</f>
        <v>1</v>
      </c>
      <c r="P21" s="15" t="s">
        <v>294</v>
      </c>
      <c r="Q21" s="16">
        <f>2/2</f>
        <v>1</v>
      </c>
    </row>
    <row r="22" spans="1:17" ht="15.75" x14ac:dyDescent="0.25">
      <c r="A22" s="3" t="s">
        <v>77</v>
      </c>
      <c r="B22" s="15" t="s">
        <v>298</v>
      </c>
      <c r="C22" s="16">
        <f>1/2</f>
        <v>0.5</v>
      </c>
      <c r="D22" s="15" t="s">
        <v>299</v>
      </c>
      <c r="E22" s="16">
        <f>0/2</f>
        <v>0</v>
      </c>
      <c r="F22" s="15" t="s">
        <v>300</v>
      </c>
      <c r="G22" s="16">
        <f>1/1</f>
        <v>1</v>
      </c>
      <c r="H22" s="15" t="s">
        <v>264</v>
      </c>
      <c r="I22" s="16" t="s">
        <v>264</v>
      </c>
      <c r="J22" s="15" t="s">
        <v>298</v>
      </c>
      <c r="K22" s="16">
        <f>1/2</f>
        <v>0.5</v>
      </c>
      <c r="L22" s="15" t="s">
        <v>299</v>
      </c>
      <c r="M22" s="16">
        <f>0/2</f>
        <v>0</v>
      </c>
      <c r="N22" s="15" t="s">
        <v>300</v>
      </c>
      <c r="O22" s="16">
        <f>1/1</f>
        <v>1</v>
      </c>
      <c r="P22" s="15" t="s">
        <v>264</v>
      </c>
      <c r="Q22" s="16" t="s">
        <v>264</v>
      </c>
    </row>
    <row r="23" spans="1:17" ht="15.75" x14ac:dyDescent="0.25">
      <c r="A23" s="3" t="s">
        <v>81</v>
      </c>
      <c r="B23" s="15" t="s">
        <v>300</v>
      </c>
      <c r="C23" s="16">
        <f>1/1</f>
        <v>1</v>
      </c>
      <c r="D23" s="15" t="s">
        <v>301</v>
      </c>
      <c r="E23" s="16">
        <f>0/1</f>
        <v>0</v>
      </c>
      <c r="F23" s="15" t="s">
        <v>300</v>
      </c>
      <c r="G23" s="16">
        <f>1/1</f>
        <v>1</v>
      </c>
      <c r="H23" s="15" t="s">
        <v>264</v>
      </c>
      <c r="I23" s="16" t="s">
        <v>264</v>
      </c>
      <c r="J23" s="15" t="s">
        <v>264</v>
      </c>
      <c r="K23" s="15" t="s">
        <v>264</v>
      </c>
      <c r="L23" s="15" t="s">
        <v>264</v>
      </c>
      <c r="M23" s="16" t="s">
        <v>264</v>
      </c>
      <c r="N23" s="15" t="s">
        <v>264</v>
      </c>
      <c r="O23" s="15" t="s">
        <v>264</v>
      </c>
      <c r="P23" s="15" t="s">
        <v>264</v>
      </c>
      <c r="Q23" s="16" t="s">
        <v>264</v>
      </c>
    </row>
    <row r="24" spans="1:17" ht="15.75" x14ac:dyDescent="0.25">
      <c r="A24" s="3" t="s">
        <v>85</v>
      </c>
      <c r="B24" s="15" t="s">
        <v>302</v>
      </c>
      <c r="C24" s="16">
        <f>2/3</f>
        <v>0.66666666666666663</v>
      </c>
      <c r="D24" s="15" t="s">
        <v>302</v>
      </c>
      <c r="E24" s="16">
        <f>2/3</f>
        <v>0.66666666666666663</v>
      </c>
      <c r="F24" s="15" t="s">
        <v>294</v>
      </c>
      <c r="G24" s="16">
        <f>2/2</f>
        <v>1</v>
      </c>
      <c r="H24" s="15" t="s">
        <v>294</v>
      </c>
      <c r="I24" s="16">
        <f>2/2</f>
        <v>1</v>
      </c>
      <c r="J24" s="15" t="s">
        <v>302</v>
      </c>
      <c r="K24" s="16">
        <f>2/3</f>
        <v>0.66666666666666663</v>
      </c>
      <c r="L24" s="15" t="s">
        <v>302</v>
      </c>
      <c r="M24" s="16">
        <f>2/3</f>
        <v>0.66666666666666663</v>
      </c>
      <c r="N24" s="15" t="s">
        <v>294</v>
      </c>
      <c r="O24" s="16">
        <f>2/2</f>
        <v>1</v>
      </c>
      <c r="P24" s="15" t="s">
        <v>294</v>
      </c>
      <c r="Q24" s="16">
        <f>2/2</f>
        <v>1</v>
      </c>
    </row>
    <row r="25" spans="1:17" ht="15.75" x14ac:dyDescent="0.25">
      <c r="A25" s="3" t="s">
        <v>95</v>
      </c>
      <c r="B25" s="15" t="s">
        <v>321</v>
      </c>
      <c r="C25" s="16">
        <f>11/13</f>
        <v>0.84615384615384615</v>
      </c>
      <c r="D25" s="15" t="s">
        <v>322</v>
      </c>
      <c r="E25" s="16">
        <f>9/13</f>
        <v>0.69230769230769229</v>
      </c>
      <c r="F25" s="15" t="s">
        <v>323</v>
      </c>
      <c r="G25" s="16">
        <f>11/11</f>
        <v>1</v>
      </c>
      <c r="H25" s="15" t="s">
        <v>324</v>
      </c>
      <c r="I25" s="16">
        <f>9/9</f>
        <v>1</v>
      </c>
      <c r="J25" s="15" t="s">
        <v>325</v>
      </c>
      <c r="K25" s="16">
        <f>13/17</f>
        <v>0.76470588235294112</v>
      </c>
      <c r="L25" s="15" t="s">
        <v>326</v>
      </c>
      <c r="M25" s="16">
        <f>11/17</f>
        <v>0.6470588235294118</v>
      </c>
      <c r="N25" s="15" t="s">
        <v>327</v>
      </c>
      <c r="O25" s="16">
        <f>13/13</f>
        <v>1</v>
      </c>
      <c r="P25" s="15" t="s">
        <v>323</v>
      </c>
      <c r="Q25" s="16">
        <f>11/11</f>
        <v>1</v>
      </c>
    </row>
    <row r="26" spans="1:17" ht="15.75" x14ac:dyDescent="0.25">
      <c r="A26" s="3" t="s">
        <v>208</v>
      </c>
      <c r="B26" s="15" t="s">
        <v>311</v>
      </c>
      <c r="C26" s="16">
        <f>14/16</f>
        <v>0.875</v>
      </c>
      <c r="D26" s="15" t="s">
        <v>312</v>
      </c>
      <c r="E26" s="16">
        <f>4/16</f>
        <v>0.25</v>
      </c>
      <c r="F26" s="15" t="s">
        <v>311</v>
      </c>
      <c r="G26" s="16">
        <f>14/16</f>
        <v>0.875</v>
      </c>
      <c r="H26" s="15" t="s">
        <v>297</v>
      </c>
      <c r="I26" s="16">
        <f>4/4</f>
        <v>1</v>
      </c>
      <c r="J26" s="15" t="s">
        <v>313</v>
      </c>
      <c r="K26" s="16">
        <f>17/20</f>
        <v>0.85</v>
      </c>
      <c r="L26" s="15" t="s">
        <v>314</v>
      </c>
      <c r="M26" s="16">
        <f>4/20</f>
        <v>0.2</v>
      </c>
      <c r="N26" s="15" t="s">
        <v>313</v>
      </c>
      <c r="O26" s="16">
        <f>17/20</f>
        <v>0.85</v>
      </c>
      <c r="P26" s="15" t="s">
        <v>297</v>
      </c>
      <c r="Q26" s="16">
        <f>4/4</f>
        <v>1</v>
      </c>
    </row>
    <row r="27" spans="1:17" ht="15.75" x14ac:dyDescent="0.25">
      <c r="A27" s="3" t="s">
        <v>278</v>
      </c>
      <c r="B27" s="15" t="s">
        <v>301</v>
      </c>
      <c r="C27" s="16">
        <f>0/1</f>
        <v>0</v>
      </c>
      <c r="D27" s="15" t="s">
        <v>301</v>
      </c>
      <c r="E27" s="16">
        <f>0/1</f>
        <v>0</v>
      </c>
      <c r="F27" s="15" t="s">
        <v>264</v>
      </c>
      <c r="G27" s="15" t="s">
        <v>264</v>
      </c>
      <c r="H27" s="15" t="s">
        <v>264</v>
      </c>
      <c r="I27" s="15" t="s">
        <v>264</v>
      </c>
      <c r="J27" s="15" t="s">
        <v>301</v>
      </c>
      <c r="K27" s="16">
        <f>0/1</f>
        <v>0</v>
      </c>
      <c r="L27" s="15" t="s">
        <v>301</v>
      </c>
      <c r="M27" s="16">
        <f>0/1</f>
        <v>0</v>
      </c>
      <c r="N27" s="15" t="s">
        <v>264</v>
      </c>
      <c r="O27" s="15" t="s">
        <v>264</v>
      </c>
      <c r="P27" s="15" t="s">
        <v>264</v>
      </c>
      <c r="Q27" s="15" t="s">
        <v>264</v>
      </c>
    </row>
    <row r="28" spans="1:17" ht="15.75" x14ac:dyDescent="0.25">
      <c r="A28" s="3" t="s">
        <v>256</v>
      </c>
      <c r="B28" s="15" t="s">
        <v>300</v>
      </c>
      <c r="C28" s="16">
        <f>1/1</f>
        <v>1</v>
      </c>
      <c r="D28" s="15" t="s">
        <v>301</v>
      </c>
      <c r="E28" s="16">
        <f>0/1</f>
        <v>0</v>
      </c>
      <c r="F28" s="15" t="s">
        <v>300</v>
      </c>
      <c r="G28" s="16">
        <f>1/1</f>
        <v>1</v>
      </c>
      <c r="H28" s="15" t="s">
        <v>264</v>
      </c>
      <c r="I28" s="15" t="s">
        <v>264</v>
      </c>
      <c r="J28" s="15" t="s">
        <v>264</v>
      </c>
      <c r="K28" s="15" t="s">
        <v>264</v>
      </c>
      <c r="L28" s="15" t="s">
        <v>264</v>
      </c>
      <c r="M28" s="16" t="s">
        <v>264</v>
      </c>
      <c r="N28" s="15" t="s">
        <v>264</v>
      </c>
      <c r="O28" s="15" t="s">
        <v>264</v>
      </c>
      <c r="P28" s="15" t="s">
        <v>264</v>
      </c>
      <c r="Q28" s="16" t="s">
        <v>264</v>
      </c>
    </row>
    <row r="29" spans="1:17" x14ac:dyDescent="0.25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1:17" ht="15.75" x14ac:dyDescent="0.25">
      <c r="A30" s="3" t="s">
        <v>315</v>
      </c>
      <c r="B30" s="15" t="s">
        <v>328</v>
      </c>
      <c r="C30" s="16">
        <f>35/43</f>
        <v>0.81395348837209303</v>
      </c>
      <c r="D30" s="15" t="s">
        <v>329</v>
      </c>
      <c r="E30" s="16">
        <f>17/43</f>
        <v>0.39534883720930231</v>
      </c>
      <c r="F30" s="15" t="s">
        <v>330</v>
      </c>
      <c r="G30" s="16">
        <f>35/39</f>
        <v>0.89743589743589747</v>
      </c>
      <c r="H30" s="15" t="s">
        <v>331</v>
      </c>
      <c r="I30" s="16">
        <f>17/17</f>
        <v>1</v>
      </c>
      <c r="J30" s="15" t="s">
        <v>332</v>
      </c>
      <c r="K30" s="16">
        <f>37/48</f>
        <v>0.77083333333333337</v>
      </c>
      <c r="L30" s="15" t="s">
        <v>333</v>
      </c>
      <c r="M30" s="16">
        <f>19/48</f>
        <v>0.39583333333333331</v>
      </c>
      <c r="N30" s="15" t="s">
        <v>334</v>
      </c>
      <c r="O30" s="16">
        <f>37/40</f>
        <v>0.92500000000000004</v>
      </c>
      <c r="P30" s="15" t="s">
        <v>335</v>
      </c>
      <c r="Q30" s="16">
        <f>19/19</f>
        <v>1</v>
      </c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opLeftCell="A4"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5" t="s">
        <v>19</v>
      </c>
      <c r="C2" t="s">
        <v>20</v>
      </c>
      <c r="D2" s="5" t="s">
        <v>21</v>
      </c>
      <c r="E2" t="s">
        <v>22</v>
      </c>
      <c r="F2" s="5">
        <v>-2</v>
      </c>
      <c r="G2">
        <v>0</v>
      </c>
      <c r="M2" t="s">
        <v>17</v>
      </c>
      <c r="N2" t="s">
        <v>17</v>
      </c>
      <c r="O2" t="s">
        <v>17</v>
      </c>
      <c r="Q2" t="s">
        <v>261</v>
      </c>
    </row>
    <row r="3" spans="1:21" x14ac:dyDescent="0.25">
      <c r="A3" t="s">
        <v>18</v>
      </c>
      <c r="B3" s="5" t="s">
        <v>23</v>
      </c>
      <c r="C3" t="s">
        <v>20</v>
      </c>
      <c r="D3" s="5" t="s">
        <v>24</v>
      </c>
      <c r="E3" t="s">
        <v>22</v>
      </c>
      <c r="F3" s="5">
        <v>-2</v>
      </c>
      <c r="G3">
        <v>0</v>
      </c>
      <c r="M3" t="s">
        <v>17</v>
      </c>
      <c r="N3" t="s">
        <v>17</v>
      </c>
      <c r="O3" t="s">
        <v>17</v>
      </c>
      <c r="Q3" t="s">
        <v>261</v>
      </c>
    </row>
    <row r="4" spans="1:21" x14ac:dyDescent="0.25">
      <c r="A4" t="s">
        <v>18</v>
      </c>
      <c r="B4" s="1" t="s">
        <v>25</v>
      </c>
      <c r="C4" t="s">
        <v>20</v>
      </c>
      <c r="D4" s="1" t="s">
        <v>25</v>
      </c>
      <c r="E4" s="5" t="s">
        <v>22</v>
      </c>
      <c r="F4" s="1">
        <v>2</v>
      </c>
      <c r="G4" s="5">
        <v>-1</v>
      </c>
      <c r="M4" t="s">
        <v>26</v>
      </c>
      <c r="N4" t="s">
        <v>27</v>
      </c>
      <c r="O4" t="s">
        <v>17</v>
      </c>
    </row>
    <row r="5" spans="1:21" x14ac:dyDescent="0.25">
      <c r="A5" t="s">
        <v>18</v>
      </c>
      <c r="B5" s="1" t="s">
        <v>28</v>
      </c>
      <c r="C5" t="s">
        <v>20</v>
      </c>
      <c r="D5" s="1" t="s">
        <v>28</v>
      </c>
      <c r="E5" s="5" t="s">
        <v>22</v>
      </c>
      <c r="F5" s="1">
        <v>2</v>
      </c>
      <c r="G5" s="5">
        <v>-1</v>
      </c>
      <c r="H5" s="1" t="s">
        <v>29</v>
      </c>
      <c r="I5" s="1" t="s">
        <v>29</v>
      </c>
      <c r="J5" s="5" t="s">
        <v>22</v>
      </c>
      <c r="K5" s="1">
        <v>2</v>
      </c>
      <c r="L5" s="5">
        <v>-1</v>
      </c>
      <c r="M5" t="s">
        <v>30</v>
      </c>
      <c r="N5" t="s">
        <v>31</v>
      </c>
      <c r="O5" t="s">
        <v>17</v>
      </c>
    </row>
    <row r="6" spans="1:21" x14ac:dyDescent="0.25">
      <c r="A6" t="s">
        <v>18</v>
      </c>
      <c r="B6" s="1" t="s">
        <v>32</v>
      </c>
      <c r="C6" t="s">
        <v>20</v>
      </c>
      <c r="D6" s="1" t="s">
        <v>32</v>
      </c>
      <c r="E6" s="5" t="s">
        <v>22</v>
      </c>
      <c r="F6" s="1">
        <v>2</v>
      </c>
      <c r="G6" s="5">
        <v>-1</v>
      </c>
      <c r="H6" s="1" t="s">
        <v>33</v>
      </c>
      <c r="I6" s="1" t="s">
        <v>33</v>
      </c>
      <c r="J6" s="5" t="s">
        <v>22</v>
      </c>
      <c r="K6" s="1">
        <v>2</v>
      </c>
      <c r="L6" s="5">
        <v>-1</v>
      </c>
      <c r="M6" t="s">
        <v>34</v>
      </c>
      <c r="N6" t="s">
        <v>35</v>
      </c>
      <c r="O6" t="s">
        <v>17</v>
      </c>
    </row>
    <row r="7" spans="1:21" x14ac:dyDescent="0.25">
      <c r="A7" t="s">
        <v>18</v>
      </c>
      <c r="B7" s="9" t="s">
        <v>36</v>
      </c>
      <c r="C7" t="s">
        <v>20</v>
      </c>
      <c r="D7" s="10" t="s">
        <v>22</v>
      </c>
      <c r="E7" s="11" t="s">
        <v>36</v>
      </c>
      <c r="F7" s="10">
        <v>-1</v>
      </c>
      <c r="G7" s="1">
        <v>2</v>
      </c>
      <c r="H7" s="11" t="s">
        <v>155</v>
      </c>
      <c r="I7" s="10" t="s">
        <v>22</v>
      </c>
      <c r="J7" s="11" t="s">
        <v>37</v>
      </c>
      <c r="K7" s="10">
        <v>-1</v>
      </c>
      <c r="L7" s="1">
        <v>2</v>
      </c>
      <c r="M7" t="s">
        <v>17</v>
      </c>
      <c r="N7" t="s">
        <v>17</v>
      </c>
      <c r="O7">
        <v>24.297699999999999</v>
      </c>
      <c r="P7">
        <v>24.9</v>
      </c>
      <c r="Q7" t="s">
        <v>260</v>
      </c>
    </row>
    <row r="8" spans="1:21" x14ac:dyDescent="0.25">
      <c r="A8" t="s">
        <v>18</v>
      </c>
      <c r="B8" s="1" t="s">
        <v>38</v>
      </c>
      <c r="C8" t="s">
        <v>20</v>
      </c>
      <c r="D8" s="1" t="s">
        <v>38</v>
      </c>
      <c r="E8" s="1" t="s">
        <v>38</v>
      </c>
      <c r="F8" s="1">
        <v>2</v>
      </c>
      <c r="G8" s="1">
        <v>2</v>
      </c>
      <c r="H8" s="1" t="s">
        <v>39</v>
      </c>
      <c r="I8" s="1" t="s">
        <v>39</v>
      </c>
      <c r="J8" s="1" t="s">
        <v>39</v>
      </c>
      <c r="K8" s="1">
        <v>2</v>
      </c>
      <c r="L8" s="1">
        <v>2</v>
      </c>
      <c r="M8" t="s">
        <v>40</v>
      </c>
      <c r="N8" t="s">
        <v>41</v>
      </c>
      <c r="O8" t="s">
        <v>42</v>
      </c>
      <c r="P8">
        <v>16.7</v>
      </c>
    </row>
    <row r="9" spans="1:21" x14ac:dyDescent="0.25">
      <c r="A9" t="s">
        <v>18</v>
      </c>
      <c r="B9" s="1" t="s">
        <v>43</v>
      </c>
      <c r="C9" t="s">
        <v>20</v>
      </c>
      <c r="D9" s="1" t="s">
        <v>43</v>
      </c>
      <c r="E9" s="5" t="s">
        <v>22</v>
      </c>
      <c r="F9" s="1">
        <v>2</v>
      </c>
      <c r="G9" s="5">
        <v>-1</v>
      </c>
      <c r="H9" s="1" t="s">
        <v>44</v>
      </c>
      <c r="I9" s="1" t="s">
        <v>44</v>
      </c>
      <c r="J9" s="5" t="s">
        <v>22</v>
      </c>
      <c r="K9" s="1">
        <v>2</v>
      </c>
      <c r="L9" s="5">
        <v>-1</v>
      </c>
      <c r="M9" t="s">
        <v>45</v>
      </c>
      <c r="N9" t="s">
        <v>46</v>
      </c>
      <c r="O9" t="s">
        <v>17</v>
      </c>
    </row>
    <row r="12" spans="1:21" ht="15.75" x14ac:dyDescent="0.25">
      <c r="A12" s="3" t="s">
        <v>47</v>
      </c>
      <c r="H12" s="3" t="s">
        <v>48</v>
      </c>
    </row>
    <row r="13" spans="1:21" x14ac:dyDescent="0.25">
      <c r="A13" s="4" t="s">
        <v>49</v>
      </c>
      <c r="F13">
        <f>COUNTIFS(B2:B9,"&lt;&gt;*_*",B2:B9,"&lt;&gt;")</f>
        <v>6</v>
      </c>
      <c r="H13" s="4" t="s">
        <v>49</v>
      </c>
      <c r="K13">
        <f>COUNTIFS(B2:B9,"&lt;&gt;*_*",B2:B9,"&lt;&gt;",R2:R9,"&lt;&gt;TRUE")</f>
        <v>6</v>
      </c>
    </row>
    <row r="14" spans="1:21" x14ac:dyDescent="0.25">
      <c r="A14" s="4" t="s">
        <v>50</v>
      </c>
      <c r="F14">
        <f>COUNTIFS(F2:F9,"&gt;0")</f>
        <v>5</v>
      </c>
      <c r="H14" s="4" t="s">
        <v>50</v>
      </c>
      <c r="K14">
        <f>COUNTIFS(F2:F9,"&gt;0",R2:R9,"&lt;&gt;TRUE")</f>
        <v>5</v>
      </c>
    </row>
    <row r="15" spans="1:21" x14ac:dyDescent="0.25">
      <c r="A15" s="4" t="s">
        <v>51</v>
      </c>
      <c r="F15">
        <f>COUNTIFS(G2:G9,"&gt;0")</f>
        <v>2</v>
      </c>
      <c r="H15" s="4" t="s">
        <v>51</v>
      </c>
      <c r="K15">
        <f>COUNTIFS(G2:G9,"&gt;0",S2:S9,"&lt;&gt;TRUE")</f>
        <v>2</v>
      </c>
    </row>
    <row r="16" spans="1:21" x14ac:dyDescent="0.25">
      <c r="A16" s="4" t="s">
        <v>52</v>
      </c>
      <c r="F16">
        <f>COUNTIFS(F2:F9,"&lt;&gt;-1",F2:F9,"&lt;&gt;0",F2:F9,"&lt;2")</f>
        <v>2</v>
      </c>
      <c r="H16" s="4" t="s">
        <v>52</v>
      </c>
      <c r="K16">
        <f>COUNTIFS(F2:F9,"&lt;&gt;-1",F2:F9,"&lt;&gt;0",F2:F9,"&lt;2",R2:R9,"&lt;&gt;TRUE")</f>
        <v>2</v>
      </c>
    </row>
    <row r="17" spans="1:11" x14ac:dyDescent="0.25">
      <c r="A17" s="4" t="s">
        <v>53</v>
      </c>
      <c r="F17">
        <f>COUNTIFS(G2:G9,"&lt;&gt;-1",G2:G9,"&lt;&gt;0",G2:G9,"&lt;2")</f>
        <v>0</v>
      </c>
      <c r="H17" s="4" t="s">
        <v>53</v>
      </c>
      <c r="K17">
        <f>COUNTIFS(G2:G9,"&lt;&gt;-1",G2:G9,"&lt;&gt;0",G2:G9,"&lt;2",S2:S9,"&lt;&gt;TRUE")</f>
        <v>0</v>
      </c>
    </row>
    <row r="18" spans="1:11" x14ac:dyDescent="0.25">
      <c r="A18" s="4" t="s">
        <v>54</v>
      </c>
      <c r="F18">
        <f>COUNTIFS(F2:F9,"=-1")+COUNTIFS(F2:F9,"=-3")</f>
        <v>1</v>
      </c>
      <c r="H18" s="4" t="s">
        <v>54</v>
      </c>
      <c r="K18">
        <f>COUNTIFS(F2:F9,"=-1",R2:R9,"&lt;&gt;TRUE")+COUNTIFS(F2:F9,"=-3",R2:R9,"&lt;&gt;TRUE")</f>
        <v>1</v>
      </c>
    </row>
    <row r="19" spans="1:11" x14ac:dyDescent="0.25">
      <c r="A19" s="4" t="s">
        <v>55</v>
      </c>
      <c r="F19">
        <f>COUNTIFS(G2:G9,"=-1")+COUNTIFS(G2:G9,"=-3")</f>
        <v>4</v>
      </c>
      <c r="H19" s="4" t="s">
        <v>55</v>
      </c>
      <c r="K19">
        <f>COUNTIFS(G2:G9,"=-1",S2:S9,"&lt;&gt;TRUE")+COUNTIFS(G2:G9,"=-3",S2:S9,"&lt;&gt;TRUE")</f>
        <v>4</v>
      </c>
    </row>
    <row r="20" spans="1:11" x14ac:dyDescent="0.25">
      <c r="A20" s="4" t="s">
        <v>56</v>
      </c>
      <c r="F20" s="8">
        <f>F14/F13</f>
        <v>0.83333333333333337</v>
      </c>
      <c r="H20" s="4" t="s">
        <v>56</v>
      </c>
      <c r="K20" s="8">
        <f>K14/K13</f>
        <v>0.83333333333333337</v>
      </c>
    </row>
    <row r="21" spans="1:11" x14ac:dyDescent="0.25">
      <c r="A21" s="4" t="s">
        <v>57</v>
      </c>
      <c r="F21" s="8">
        <f>F15/F13</f>
        <v>0.33333333333333331</v>
      </c>
      <c r="H21" s="4" t="s">
        <v>58</v>
      </c>
      <c r="K21" s="8">
        <f>K15/K13</f>
        <v>0.33333333333333331</v>
      </c>
    </row>
    <row r="22" spans="1:11" x14ac:dyDescent="0.25">
      <c r="A22" s="4" t="s">
        <v>59</v>
      </c>
      <c r="F22" s="8">
        <f>F14/(F14+F16)</f>
        <v>0.7142857142857143</v>
      </c>
      <c r="H22" s="4" t="s">
        <v>59</v>
      </c>
      <c r="K22" s="8">
        <f>K14/(K14+K16)</f>
        <v>0.7142857142857143</v>
      </c>
    </row>
    <row r="23" spans="1:11" x14ac:dyDescent="0.25">
      <c r="A23" s="4" t="s">
        <v>60</v>
      </c>
      <c r="F23" s="8">
        <f>F15/(F15+F17)</f>
        <v>1</v>
      </c>
      <c r="H23" s="4" t="s">
        <v>60</v>
      </c>
      <c r="K23" s="8">
        <f>K15/(K15+K17)</f>
        <v>1</v>
      </c>
    </row>
    <row r="26" spans="1:11" ht="15.75" x14ac:dyDescent="0.25">
      <c r="A26" s="3" t="s">
        <v>61</v>
      </c>
      <c r="H26" s="3" t="s">
        <v>62</v>
      </c>
    </row>
    <row r="27" spans="1:11" x14ac:dyDescent="0.25">
      <c r="A27" s="4" t="s">
        <v>49</v>
      </c>
      <c r="F27">
        <f>COUNTIFS(H2:H9,"&lt;&gt;*_FP",H2:H9,"&lt;&gt;",H2:H9,"&lt;&gt;no structure")</f>
        <v>5</v>
      </c>
      <c r="H27" s="4" t="s">
        <v>49</v>
      </c>
      <c r="K27">
        <f>COUNTIFS(H2:H9,"&lt;&gt;*_FP",H2:H9,"&lt;&gt;",H2:H9,"&lt;&gt;no structure",T2:T9,"&lt;&gt;TRUE")</f>
        <v>5</v>
      </c>
    </row>
    <row r="28" spans="1:11" x14ac:dyDescent="0.25">
      <c r="A28" s="4" t="s">
        <v>50</v>
      </c>
      <c r="F28">
        <f>COUNTIFS(K2:K9,"&gt;0")</f>
        <v>4</v>
      </c>
      <c r="H28" s="4" t="s">
        <v>50</v>
      </c>
      <c r="K28">
        <f>COUNTIFS(K2:K9,"&gt;0",T2:T9,"&lt;&gt;TRUE")</f>
        <v>4</v>
      </c>
    </row>
    <row r="29" spans="1:11" x14ac:dyDescent="0.25">
      <c r="A29" s="4" t="s">
        <v>51</v>
      </c>
      <c r="F29">
        <f>COUNTIFS(L2:L9,"&gt;0")</f>
        <v>2</v>
      </c>
      <c r="H29" s="4" t="s">
        <v>51</v>
      </c>
      <c r="K29">
        <f>COUNTIFS(L2:L9,"&gt;0",U2:U9,"&lt;&gt;TRUE")</f>
        <v>2</v>
      </c>
    </row>
    <row r="30" spans="1:11" x14ac:dyDescent="0.25">
      <c r="A30" s="4" t="s">
        <v>52</v>
      </c>
      <c r="F30">
        <f>COUNTIFS(K2:K9,"&lt;&gt;-1",K2:K9,"&lt;&gt;0",K2:K9,"&lt;2")</f>
        <v>0</v>
      </c>
      <c r="H30" s="4" t="s">
        <v>52</v>
      </c>
      <c r="K30">
        <f>COUNTIFS(K2:K9,"&lt;&gt;-1",K2:K9,"&lt;&gt;0",K2:K9,"&lt;2",T2:T9,"&lt;&gt;TRUE")</f>
        <v>0</v>
      </c>
    </row>
    <row r="31" spans="1:11" x14ac:dyDescent="0.25">
      <c r="A31" s="4" t="s">
        <v>53</v>
      </c>
      <c r="F31">
        <f>COUNTIFS(L2:L9,"&lt;&gt;-1",L2:L9,"&lt;&gt;0",L2:L9,"&lt;2")</f>
        <v>0</v>
      </c>
      <c r="H31" s="4" t="s">
        <v>53</v>
      </c>
      <c r="K31">
        <f>COUNTIFS(L2:L9,"&lt;&gt;-1",L2:L9,"&lt;&gt;0",L2:L9,"&lt;2",U2:U9,"&lt;&gt;TRUE")</f>
        <v>0</v>
      </c>
    </row>
    <row r="32" spans="1:11" x14ac:dyDescent="0.25">
      <c r="A32" s="4" t="s">
        <v>54</v>
      </c>
      <c r="F32">
        <f>COUNTIFS(K2:K9,"=-1")+COUNTIFS(K2:K9,"=-3")</f>
        <v>1</v>
      </c>
      <c r="H32" s="4" t="s">
        <v>54</v>
      </c>
      <c r="K32">
        <f>COUNTIFS(K2:K9,"=-1",T2:T9,"&lt;&gt;TRUE")+COUNTIFS(K2:K9,"=-3",T2:T9,"&lt;&gt;TRUE")</f>
        <v>1</v>
      </c>
    </row>
    <row r="33" spans="1:11" x14ac:dyDescent="0.25">
      <c r="A33" s="4" t="s">
        <v>55</v>
      </c>
      <c r="F33">
        <f>COUNTIFS(L2:L9,"=-1")+COUNTIFS(L2:L9,"=-3")</f>
        <v>3</v>
      </c>
      <c r="H33" s="4" t="s">
        <v>55</v>
      </c>
      <c r="K33">
        <f>COUNTIFS(L2:L9,"=-1",U2:U9,"&lt;&gt;TRUE")+COUNTIFS(L2:L9,"=-3",U2:U9,"&lt;&gt;TRUE")</f>
        <v>3</v>
      </c>
    </row>
    <row r="34" spans="1:11" x14ac:dyDescent="0.25">
      <c r="A34" s="4" t="s">
        <v>56</v>
      </c>
      <c r="F34" s="8">
        <f>F28/F27</f>
        <v>0.8</v>
      </c>
      <c r="H34" s="4" t="s">
        <v>56</v>
      </c>
      <c r="K34" s="8">
        <f>K28/K27</f>
        <v>0.8</v>
      </c>
    </row>
    <row r="35" spans="1:11" x14ac:dyDescent="0.25">
      <c r="A35" s="4" t="s">
        <v>57</v>
      </c>
      <c r="F35" s="8">
        <f>F29/F27</f>
        <v>0.4</v>
      </c>
      <c r="H35" s="4" t="s">
        <v>58</v>
      </c>
      <c r="K35" s="8">
        <f>K29/K27</f>
        <v>0.4</v>
      </c>
    </row>
    <row r="36" spans="1:11" x14ac:dyDescent="0.25">
      <c r="A36" s="4" t="s">
        <v>59</v>
      </c>
      <c r="F36" s="8">
        <f>F28/(F28+F30)</f>
        <v>1</v>
      </c>
      <c r="H36" s="4" t="s">
        <v>59</v>
      </c>
      <c r="K36" s="8">
        <f>K28/(K28+K30)</f>
        <v>1</v>
      </c>
    </row>
    <row r="37" spans="1:11" x14ac:dyDescent="0.25">
      <c r="A37" s="4" t="s">
        <v>60</v>
      </c>
      <c r="F37" s="8">
        <f>F29/(F29+F31)</f>
        <v>1</v>
      </c>
      <c r="H37" s="4" t="s">
        <v>60</v>
      </c>
      <c r="K37" s="8">
        <f>K29/(K29+K31)</f>
        <v>1</v>
      </c>
    </row>
    <row r="40" spans="1:11" ht="15.75" x14ac:dyDescent="0.25">
      <c r="A40" s="3" t="s">
        <v>63</v>
      </c>
    </row>
    <row r="41" spans="1:11" x14ac:dyDescent="0.25">
      <c r="A41" s="1" t="s">
        <v>64</v>
      </c>
    </row>
    <row r="42" spans="1:11" x14ac:dyDescent="0.25">
      <c r="A42" s="5" t="s">
        <v>65</v>
      </c>
    </row>
    <row r="44" spans="1:11" x14ac:dyDescent="0.25">
      <c r="A44" s="1" t="s">
        <v>66</v>
      </c>
    </row>
    <row r="45" spans="1:11" x14ac:dyDescent="0.25">
      <c r="A45" s="6" t="s">
        <v>67</v>
      </c>
    </row>
    <row r="46" spans="1:11" x14ac:dyDescent="0.25">
      <c r="A46" s="7" t="s">
        <v>68</v>
      </c>
    </row>
    <row r="47" spans="1:11" x14ac:dyDescent="0.25">
      <c r="A47" s="5" t="s">
        <v>69</v>
      </c>
    </row>
    <row r="49" spans="1:1" x14ac:dyDescent="0.25">
      <c r="A49" s="4" t="s">
        <v>70</v>
      </c>
    </row>
    <row r="50" spans="1:1" x14ac:dyDescent="0.25">
      <c r="A50" t="s">
        <v>71</v>
      </c>
    </row>
    <row r="51" spans="1:1" x14ac:dyDescent="0.25">
      <c r="A51" t="s">
        <v>72</v>
      </c>
    </row>
    <row r="52" spans="1:1" x14ac:dyDescent="0.25">
      <c r="A52" t="s">
        <v>73</v>
      </c>
    </row>
    <row r="53" spans="1:1" x14ac:dyDescent="0.25">
      <c r="A53" t="s">
        <v>74</v>
      </c>
    </row>
    <row r="54" spans="1:1" x14ac:dyDescent="0.25">
      <c r="A54" t="s">
        <v>75</v>
      </c>
    </row>
    <row r="55" spans="1:1" x14ac:dyDescent="0.25">
      <c r="A55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>
      <selection activeCell="F17" sqref="F17"/>
    </sheetView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ht="15.75" x14ac:dyDescent="0.25">
      <c r="A2" t="s">
        <v>77</v>
      </c>
      <c r="B2" s="1" t="s">
        <v>28</v>
      </c>
      <c r="C2" t="s">
        <v>20</v>
      </c>
      <c r="D2" s="1" t="s">
        <v>28</v>
      </c>
      <c r="E2" s="5" t="s">
        <v>22</v>
      </c>
      <c r="F2" s="1">
        <v>2</v>
      </c>
      <c r="G2" s="5">
        <v>-1</v>
      </c>
      <c r="H2" s="1" t="s">
        <v>78</v>
      </c>
      <c r="I2" s="1" t="s">
        <v>78</v>
      </c>
      <c r="J2" s="5" t="s">
        <v>22</v>
      </c>
      <c r="K2" s="1">
        <v>2</v>
      </c>
      <c r="L2" s="5">
        <v>-1</v>
      </c>
      <c r="M2" t="s">
        <v>79</v>
      </c>
      <c r="N2" t="s">
        <v>80</v>
      </c>
      <c r="O2" s="2"/>
      <c r="P2" s="2"/>
      <c r="Q2" s="2"/>
      <c r="R2" s="2"/>
      <c r="S2" s="2"/>
      <c r="T2" s="2"/>
      <c r="U2" s="2"/>
    </row>
    <row r="3" spans="1:21" x14ac:dyDescent="0.25">
      <c r="A3" t="s">
        <v>77</v>
      </c>
      <c r="B3" s="11" t="s">
        <v>38</v>
      </c>
      <c r="C3" t="s">
        <v>20</v>
      </c>
      <c r="D3" s="10" t="s">
        <v>22</v>
      </c>
      <c r="E3" s="10" t="s">
        <v>22</v>
      </c>
      <c r="F3" s="10">
        <v>-1</v>
      </c>
      <c r="G3" s="10">
        <v>-1</v>
      </c>
      <c r="H3" s="11" t="s">
        <v>262</v>
      </c>
      <c r="I3" s="10" t="s">
        <v>22</v>
      </c>
      <c r="J3" s="10" t="s">
        <v>22</v>
      </c>
      <c r="K3" s="10">
        <v>-1</v>
      </c>
      <c r="L3" s="10">
        <v>-1</v>
      </c>
      <c r="M3" t="s">
        <v>188</v>
      </c>
      <c r="N3" t="s">
        <v>17</v>
      </c>
      <c r="Q3" t="s">
        <v>263</v>
      </c>
    </row>
    <row r="6" spans="1:21" ht="15.75" x14ac:dyDescent="0.25">
      <c r="A6" s="3" t="s">
        <v>47</v>
      </c>
      <c r="H6" s="3" t="s">
        <v>48</v>
      </c>
    </row>
    <row r="7" spans="1:21" x14ac:dyDescent="0.25">
      <c r="A7" s="4" t="s">
        <v>49</v>
      </c>
      <c r="F7">
        <f>COUNTIFS(B2:B3,"&lt;&gt;*_*",B2:B3,"&lt;&gt;")</f>
        <v>2</v>
      </c>
      <c r="H7" s="4" t="s">
        <v>49</v>
      </c>
      <c r="K7">
        <f>COUNTIFS(B2:B3,"&lt;&gt;*_*",B2:B3,"&lt;&gt;",R2:R3,"&lt;&gt;TRUE")</f>
        <v>2</v>
      </c>
    </row>
    <row r="8" spans="1:21" x14ac:dyDescent="0.25">
      <c r="A8" s="4" t="s">
        <v>50</v>
      </c>
      <c r="F8">
        <f>COUNTIFS(F2:F3,"&gt;0")</f>
        <v>1</v>
      </c>
      <c r="H8" s="4" t="s">
        <v>50</v>
      </c>
      <c r="K8">
        <f>COUNTIFS(F2:F3,"&gt;0",R2:R3,"&lt;&gt;TRUE")</f>
        <v>1</v>
      </c>
    </row>
    <row r="9" spans="1:21" x14ac:dyDescent="0.25">
      <c r="A9" s="4" t="s">
        <v>51</v>
      </c>
      <c r="F9">
        <f>COUNTIFS(G2:G3,"&gt;0")</f>
        <v>0</v>
      </c>
      <c r="H9" s="4" t="s">
        <v>51</v>
      </c>
      <c r="K9">
        <f>COUNTIFS(G2:G3,"&gt;0",S2:S3,"&lt;&gt;TRUE")</f>
        <v>0</v>
      </c>
    </row>
    <row r="10" spans="1:21" x14ac:dyDescent="0.25">
      <c r="A10" s="4" t="s">
        <v>52</v>
      </c>
      <c r="F10">
        <f>COUNTIFS(F2:F3,"&lt;&gt;-1",F2:F3,"&lt;&gt;0",F2:F3,"&lt;2")</f>
        <v>0</v>
      </c>
      <c r="H10" s="4" t="s">
        <v>52</v>
      </c>
      <c r="K10">
        <f>COUNTIFS(F2:F3,"&lt;&gt;-1",F2:F3,"&lt;&gt;0",F2:F3,"&lt;2",R2:R3,"&lt;&gt;TRUE")</f>
        <v>0</v>
      </c>
    </row>
    <row r="11" spans="1:21" x14ac:dyDescent="0.25">
      <c r="A11" s="4" t="s">
        <v>53</v>
      </c>
      <c r="F11">
        <f>COUNTIFS(G2:G3,"&lt;&gt;-1",G2:G3,"&lt;&gt;0",G2:G3,"&lt;2")</f>
        <v>0</v>
      </c>
      <c r="H11" s="4" t="s">
        <v>53</v>
      </c>
      <c r="K11">
        <f>COUNTIFS(G2:G3,"&lt;&gt;-1",G2:G3,"&lt;&gt;0",G2:G3,"&lt;2",S2:S3,"&lt;&gt;TRUE")</f>
        <v>0</v>
      </c>
    </row>
    <row r="12" spans="1:21" x14ac:dyDescent="0.25">
      <c r="A12" s="4" t="s">
        <v>54</v>
      </c>
      <c r="F12">
        <f>COUNTIFS(F2:F3,"=-1")+COUNTIFS(F2:F3,"=-3")</f>
        <v>1</v>
      </c>
      <c r="H12" s="4" t="s">
        <v>54</v>
      </c>
      <c r="K12">
        <f>COUNTIFS(F2:F3,"=-1",R2:R3,"&lt;&gt;TRUE")+COUNTIFS(F2:F3,"=-3",R2:R3,"&lt;&gt;TRUE")</f>
        <v>1</v>
      </c>
    </row>
    <row r="13" spans="1:21" x14ac:dyDescent="0.25">
      <c r="A13" s="4" t="s">
        <v>55</v>
      </c>
      <c r="F13">
        <f>COUNTIFS(G2:G3,"=-1")+COUNTIFS(G2:G3,"=-3")</f>
        <v>2</v>
      </c>
      <c r="H13" s="4" t="s">
        <v>55</v>
      </c>
      <c r="K13">
        <f>COUNTIFS(G2:G3,"=-1",S2:S3,"&lt;&gt;TRUE")+COUNTIFS(G2:G3,"=-3",S2:S3,"&lt;&gt;TRUE")</f>
        <v>2</v>
      </c>
    </row>
    <row r="14" spans="1:21" x14ac:dyDescent="0.25">
      <c r="A14" s="4" t="s">
        <v>56</v>
      </c>
      <c r="F14" s="8">
        <f>F8/F7</f>
        <v>0.5</v>
      </c>
      <c r="H14" s="4" t="s">
        <v>56</v>
      </c>
      <c r="K14" s="8">
        <f>K8/K7</f>
        <v>0.5</v>
      </c>
    </row>
    <row r="15" spans="1:21" x14ac:dyDescent="0.25">
      <c r="A15" s="4" t="s">
        <v>57</v>
      </c>
      <c r="F15" s="8">
        <f>F9/F7</f>
        <v>0</v>
      </c>
      <c r="H15" s="4" t="s">
        <v>58</v>
      </c>
      <c r="K15" s="8">
        <f>K9/K7</f>
        <v>0</v>
      </c>
    </row>
    <row r="16" spans="1:21" x14ac:dyDescent="0.25">
      <c r="A16" s="4" t="s">
        <v>59</v>
      </c>
      <c r="F16" s="8">
        <f>F8/(F8+F10)</f>
        <v>1</v>
      </c>
      <c r="H16" s="4" t="s">
        <v>59</v>
      </c>
      <c r="K16" s="8">
        <f>K8/(K8+K10)</f>
        <v>1</v>
      </c>
    </row>
    <row r="17" spans="1:11" x14ac:dyDescent="0.25">
      <c r="A17" s="4" t="s">
        <v>60</v>
      </c>
      <c r="F17" s="12" t="s">
        <v>264</v>
      </c>
      <c r="H17" s="4" t="s">
        <v>60</v>
      </c>
      <c r="K17" s="12" t="s">
        <v>264</v>
      </c>
    </row>
    <row r="20" spans="1:11" ht="15.75" x14ac:dyDescent="0.25">
      <c r="A20" s="3" t="s">
        <v>61</v>
      </c>
      <c r="H20" s="3" t="s">
        <v>62</v>
      </c>
    </row>
    <row r="21" spans="1:11" x14ac:dyDescent="0.25">
      <c r="A21" s="4" t="s">
        <v>49</v>
      </c>
      <c r="F21">
        <f>COUNTIFS(H2:H3,"&lt;&gt;*_FP",H2:H3,"&lt;&gt;",H2:H3,"&lt;&gt;no structure")</f>
        <v>2</v>
      </c>
      <c r="H21" s="4" t="s">
        <v>49</v>
      </c>
      <c r="K21">
        <f>COUNTIFS(H2:H3,"&lt;&gt;*_FP",H2:H3,"&lt;&gt;",H2:H3,"&lt;&gt;no structure",T2:T3,"&lt;&gt;TRUE")</f>
        <v>2</v>
      </c>
    </row>
    <row r="22" spans="1:11" x14ac:dyDescent="0.25">
      <c r="A22" s="4" t="s">
        <v>50</v>
      </c>
      <c r="F22">
        <f>COUNTIFS(K2:K3,"&gt;0")</f>
        <v>1</v>
      </c>
      <c r="H22" s="4" t="s">
        <v>50</v>
      </c>
      <c r="K22">
        <f>COUNTIFS(K2:K3,"&gt;0",T2:T3,"&lt;&gt;TRUE")</f>
        <v>1</v>
      </c>
    </row>
    <row r="23" spans="1:11" x14ac:dyDescent="0.25">
      <c r="A23" s="4" t="s">
        <v>51</v>
      </c>
      <c r="F23">
        <f>COUNTIFS(L2:L3,"&gt;0")</f>
        <v>0</v>
      </c>
      <c r="H23" s="4" t="s">
        <v>51</v>
      </c>
      <c r="K23">
        <f>COUNTIFS(L2:L3,"&gt;0",U2:U3,"&lt;&gt;TRUE")</f>
        <v>0</v>
      </c>
    </row>
    <row r="24" spans="1:11" x14ac:dyDescent="0.25">
      <c r="A24" s="4" t="s">
        <v>52</v>
      </c>
      <c r="F24">
        <f>COUNTIFS(K2:K3,"&lt;&gt;-1",K2:K3,"&lt;&gt;0",K2:K3,"&lt;2")</f>
        <v>0</v>
      </c>
      <c r="H24" s="4" t="s">
        <v>52</v>
      </c>
      <c r="K24">
        <f>COUNTIFS(K2:K3,"&lt;&gt;-1",K2:K3,"&lt;&gt;0",K2:K3,"&lt;2",T2:T3,"&lt;&gt;TRUE")</f>
        <v>0</v>
      </c>
    </row>
    <row r="25" spans="1:11" x14ac:dyDescent="0.25">
      <c r="A25" s="4" t="s">
        <v>53</v>
      </c>
      <c r="F25">
        <f>COUNTIFS(L2:L3,"&lt;&gt;-1",L2:L3,"&lt;&gt;0",L2:L3,"&lt;2")</f>
        <v>0</v>
      </c>
      <c r="H25" s="4" t="s">
        <v>53</v>
      </c>
      <c r="K25">
        <f>COUNTIFS(L2:L3,"&lt;&gt;-1",L2:L3,"&lt;&gt;0",L2:L3,"&lt;2",U2:U3,"&lt;&gt;TRUE")</f>
        <v>0</v>
      </c>
    </row>
    <row r="26" spans="1:11" x14ac:dyDescent="0.25">
      <c r="A26" s="4" t="s">
        <v>54</v>
      </c>
      <c r="F26">
        <f>COUNTIFS(K2:K3,"=-1")+COUNTIFS(K2:K3,"=-3")</f>
        <v>1</v>
      </c>
      <c r="H26" s="4" t="s">
        <v>54</v>
      </c>
      <c r="K26">
        <f>COUNTIFS(K2:K3,"=-1",T2:T3,"&lt;&gt;TRUE")+COUNTIFS(K2:K3,"=-3",T2:T3,"&lt;&gt;TRUE")</f>
        <v>1</v>
      </c>
    </row>
    <row r="27" spans="1:11" x14ac:dyDescent="0.25">
      <c r="A27" s="4" t="s">
        <v>55</v>
      </c>
      <c r="F27">
        <f>COUNTIFS(L2:L3,"=-1")+COUNTIFS(L2:L3,"=-3")</f>
        <v>2</v>
      </c>
      <c r="H27" s="4" t="s">
        <v>55</v>
      </c>
      <c r="K27">
        <f>COUNTIFS(L2:L3,"=-1",U2:U3,"&lt;&gt;TRUE")+COUNTIFS(L2:L3,"=-3",U2:U3,"&lt;&gt;TRUE")</f>
        <v>2</v>
      </c>
    </row>
    <row r="28" spans="1:11" x14ac:dyDescent="0.25">
      <c r="A28" s="4" t="s">
        <v>56</v>
      </c>
      <c r="F28" s="8">
        <f>F22/F21</f>
        <v>0.5</v>
      </c>
      <c r="H28" s="4" t="s">
        <v>56</v>
      </c>
      <c r="K28" s="8">
        <f>K22/K21</f>
        <v>0.5</v>
      </c>
    </row>
    <row r="29" spans="1:11" x14ac:dyDescent="0.25">
      <c r="A29" s="4" t="s">
        <v>57</v>
      </c>
      <c r="F29" s="8">
        <f>F23/F21</f>
        <v>0</v>
      </c>
      <c r="H29" s="4" t="s">
        <v>58</v>
      </c>
      <c r="K29" s="8">
        <f>K23/K21</f>
        <v>0</v>
      </c>
    </row>
    <row r="30" spans="1:11" x14ac:dyDescent="0.25">
      <c r="A30" s="4" t="s">
        <v>59</v>
      </c>
      <c r="F30" s="8">
        <f>F22/(F22+F24)</f>
        <v>1</v>
      </c>
      <c r="H30" s="4" t="s">
        <v>59</v>
      </c>
      <c r="K30" s="8">
        <f>K22/(K22+K24)</f>
        <v>1</v>
      </c>
    </row>
    <row r="31" spans="1:11" x14ac:dyDescent="0.25">
      <c r="A31" s="4" t="s">
        <v>60</v>
      </c>
      <c r="F31" s="12" t="s">
        <v>264</v>
      </c>
      <c r="H31" s="4" t="s">
        <v>60</v>
      </c>
      <c r="K31" s="12" t="s">
        <v>264</v>
      </c>
    </row>
    <row r="34" spans="1:1" ht="15.75" x14ac:dyDescent="0.25">
      <c r="A34" s="3" t="s">
        <v>63</v>
      </c>
    </row>
    <row r="35" spans="1:1" x14ac:dyDescent="0.25">
      <c r="A35" s="1" t="s">
        <v>64</v>
      </c>
    </row>
    <row r="36" spans="1:1" x14ac:dyDescent="0.25">
      <c r="A36" s="5" t="s">
        <v>65</v>
      </c>
    </row>
    <row r="38" spans="1:1" x14ac:dyDescent="0.25">
      <c r="A38" s="1" t="s">
        <v>66</v>
      </c>
    </row>
    <row r="39" spans="1:1" x14ac:dyDescent="0.25">
      <c r="A39" s="6" t="s">
        <v>67</v>
      </c>
    </row>
    <row r="40" spans="1:1" x14ac:dyDescent="0.25">
      <c r="A40" s="7" t="s">
        <v>68</v>
      </c>
    </row>
    <row r="41" spans="1:1" x14ac:dyDescent="0.25">
      <c r="A41" s="5" t="s">
        <v>69</v>
      </c>
    </row>
    <row r="43" spans="1:1" x14ac:dyDescent="0.25">
      <c r="A43" s="4" t="s">
        <v>70</v>
      </c>
    </row>
    <row r="44" spans="1:1" x14ac:dyDescent="0.25">
      <c r="A44" t="s">
        <v>71</v>
      </c>
    </row>
    <row r="45" spans="1:1" x14ac:dyDescent="0.25">
      <c r="A45" t="s">
        <v>72</v>
      </c>
    </row>
    <row r="46" spans="1:1" x14ac:dyDescent="0.25">
      <c r="A46" t="s">
        <v>73</v>
      </c>
    </row>
    <row r="47" spans="1:1" x14ac:dyDescent="0.25">
      <c r="A47" t="s">
        <v>74</v>
      </c>
    </row>
    <row r="48" spans="1:1" x14ac:dyDescent="0.25">
      <c r="A48" t="s">
        <v>75</v>
      </c>
    </row>
    <row r="49" spans="1:1" x14ac:dyDescent="0.25">
      <c r="A49" t="s">
        <v>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81</v>
      </c>
      <c r="B2" s="1" t="s">
        <v>82</v>
      </c>
      <c r="C2" t="s">
        <v>20</v>
      </c>
      <c r="D2" s="1" t="s">
        <v>82</v>
      </c>
      <c r="E2" s="5" t="s">
        <v>22</v>
      </c>
      <c r="F2" s="1">
        <v>2</v>
      </c>
      <c r="G2" s="5">
        <v>-1</v>
      </c>
      <c r="H2" t="s">
        <v>83</v>
      </c>
      <c r="I2" t="s">
        <v>84</v>
      </c>
      <c r="J2" t="s">
        <v>17</v>
      </c>
    </row>
    <row r="5" spans="1:14" ht="15.75" x14ac:dyDescent="0.25">
      <c r="A5" s="3" t="s">
        <v>47</v>
      </c>
      <c r="H5" s="3" t="s">
        <v>48</v>
      </c>
    </row>
    <row r="6" spans="1:14" x14ac:dyDescent="0.25">
      <c r="A6" s="4" t="s">
        <v>49</v>
      </c>
      <c r="F6">
        <f>COUNTIFS(B2:B2,"&lt;&gt;*_*",B2:B2,"&lt;&gt;")</f>
        <v>1</v>
      </c>
      <c r="H6" s="4" t="s">
        <v>49</v>
      </c>
      <c r="K6">
        <f>COUNTIFS(B2:B2,"&lt;&gt;*_*",B2:B2,"&lt;&gt;",M2:M2,"&lt;&gt;TRUE")</f>
        <v>1</v>
      </c>
    </row>
    <row r="7" spans="1:14" x14ac:dyDescent="0.25">
      <c r="A7" s="4" t="s">
        <v>50</v>
      </c>
      <c r="F7">
        <f>COUNTIFS(F2:F2,"&gt;0")</f>
        <v>1</v>
      </c>
      <c r="H7" s="4" t="s">
        <v>50</v>
      </c>
      <c r="K7">
        <f>COUNTIFS(F2:F2,"&gt;0",M2:M2,"&lt;&gt;TRUE")</f>
        <v>1</v>
      </c>
    </row>
    <row r="8" spans="1:14" x14ac:dyDescent="0.25">
      <c r="A8" s="4" t="s">
        <v>51</v>
      </c>
      <c r="F8">
        <f>COUNTIFS(G2:G2,"&gt;0")</f>
        <v>0</v>
      </c>
      <c r="H8" s="4" t="s">
        <v>51</v>
      </c>
      <c r="K8">
        <f>COUNTIFS(G2:G2,"&gt;0",N2:N2,"&lt;&gt;TRUE")</f>
        <v>0</v>
      </c>
    </row>
    <row r="9" spans="1:14" x14ac:dyDescent="0.25">
      <c r="A9" s="4" t="s">
        <v>52</v>
      </c>
      <c r="F9">
        <f>COUNTIFS(F2:F2,"&lt;&gt;-1",F2:F2,"&lt;&gt;0",F2:F2,"&lt;2")</f>
        <v>0</v>
      </c>
      <c r="H9" s="4" t="s">
        <v>52</v>
      </c>
      <c r="K9">
        <f>COUNTIFS(F2:F2,"&lt;&gt;-1",F2:F2,"&lt;&gt;0",F2:F2,"&lt;2",M2:M2,"&lt;&gt;TRUE")</f>
        <v>0</v>
      </c>
    </row>
    <row r="10" spans="1:14" x14ac:dyDescent="0.25">
      <c r="A10" s="4" t="s">
        <v>53</v>
      </c>
      <c r="F10">
        <f>COUNTIFS(G2:G2,"&lt;&gt;-1",G2:G2,"&lt;&gt;0",G2:G2,"&lt;2")</f>
        <v>0</v>
      </c>
      <c r="H10" s="4" t="s">
        <v>53</v>
      </c>
      <c r="K10">
        <f>COUNTIFS(G2:G2,"&lt;&gt;-1",G2:G2,"&lt;&gt;0",G2:G2,"&lt;2",N2:N2,"&lt;&gt;TRUE")</f>
        <v>0</v>
      </c>
    </row>
    <row r="11" spans="1:14" x14ac:dyDescent="0.25">
      <c r="A11" s="4" t="s">
        <v>54</v>
      </c>
      <c r="F11">
        <f>COUNTIFS(F2:F2,"=-1")+COUNTIFS(F2:F2,"=-3")</f>
        <v>0</v>
      </c>
      <c r="H11" s="4" t="s">
        <v>54</v>
      </c>
      <c r="K11">
        <f>COUNTIFS(F2:F2,"=-1",M2:M2,"&lt;&gt;TRUE")+COUNTIFS(F2:F2,"=-3",M2:M2,"&lt;&gt;TRUE")</f>
        <v>0</v>
      </c>
    </row>
    <row r="12" spans="1:14" x14ac:dyDescent="0.25">
      <c r="A12" s="4" t="s">
        <v>55</v>
      </c>
      <c r="F12">
        <f>COUNTIFS(G2:G2,"=-1")+COUNTIFS(G2:G2,"=-3")</f>
        <v>1</v>
      </c>
      <c r="H12" s="4" t="s">
        <v>55</v>
      </c>
      <c r="K12">
        <f>COUNTIFS(G2:G2,"=-1",N2:N2,"&lt;&gt;TRUE")+COUNTIFS(G2:G2,"=-3",N2:N2,"&lt;&gt;TRUE")</f>
        <v>1</v>
      </c>
    </row>
    <row r="13" spans="1:14" x14ac:dyDescent="0.25">
      <c r="A13" s="4" t="s">
        <v>56</v>
      </c>
      <c r="F13" s="8">
        <f>F7/F6</f>
        <v>1</v>
      </c>
      <c r="H13" s="4" t="s">
        <v>56</v>
      </c>
      <c r="K13" s="8">
        <f>K7/K6</f>
        <v>1</v>
      </c>
    </row>
    <row r="14" spans="1:14" x14ac:dyDescent="0.25">
      <c r="A14" s="4" t="s">
        <v>57</v>
      </c>
      <c r="F14" s="8">
        <f>F8/F6</f>
        <v>0</v>
      </c>
      <c r="H14" s="4" t="s">
        <v>58</v>
      </c>
      <c r="K14" s="8">
        <f>K8/K6</f>
        <v>0</v>
      </c>
    </row>
    <row r="15" spans="1:14" x14ac:dyDescent="0.25">
      <c r="A15" s="4" t="s">
        <v>59</v>
      </c>
      <c r="F15" s="8">
        <f>F7/(F7+F9)</f>
        <v>1</v>
      </c>
      <c r="H15" s="4" t="s">
        <v>59</v>
      </c>
      <c r="K15" s="8">
        <f>K7/(K7+K9)</f>
        <v>1</v>
      </c>
    </row>
    <row r="16" spans="1:14" x14ac:dyDescent="0.25">
      <c r="A16" s="4" t="s">
        <v>60</v>
      </c>
      <c r="F16" s="12" t="s">
        <v>264</v>
      </c>
      <c r="H16" s="4" t="s">
        <v>60</v>
      </c>
      <c r="K16" s="12" t="s">
        <v>264</v>
      </c>
    </row>
    <row r="19" spans="1:1" ht="15.75" x14ac:dyDescent="0.25">
      <c r="A19" s="3" t="s">
        <v>63</v>
      </c>
    </row>
    <row r="20" spans="1:1" x14ac:dyDescent="0.25">
      <c r="A20" s="1" t="s">
        <v>64</v>
      </c>
    </row>
    <row r="21" spans="1:1" x14ac:dyDescent="0.25">
      <c r="A21" s="5" t="s">
        <v>65</v>
      </c>
    </row>
    <row r="23" spans="1:1" x14ac:dyDescent="0.25">
      <c r="A23" s="1" t="s">
        <v>66</v>
      </c>
    </row>
    <row r="24" spans="1:1" x14ac:dyDescent="0.25">
      <c r="A24" s="6" t="s">
        <v>67</v>
      </c>
    </row>
    <row r="25" spans="1:1" x14ac:dyDescent="0.25">
      <c r="A25" s="7" t="s">
        <v>68</v>
      </c>
    </row>
    <row r="26" spans="1:1" x14ac:dyDescent="0.25">
      <c r="A26" s="5" t="s">
        <v>69</v>
      </c>
    </row>
    <row r="28" spans="1:1" x14ac:dyDescent="0.25">
      <c r="A28" s="4" t="s">
        <v>70</v>
      </c>
    </row>
    <row r="29" spans="1:1" x14ac:dyDescent="0.25">
      <c r="A29" t="s">
        <v>71</v>
      </c>
    </row>
    <row r="30" spans="1:1" x14ac:dyDescent="0.25">
      <c r="A30" t="s">
        <v>72</v>
      </c>
    </row>
    <row r="31" spans="1:1" x14ac:dyDescent="0.25">
      <c r="A31" t="s">
        <v>73</v>
      </c>
    </row>
    <row r="32" spans="1:1" x14ac:dyDescent="0.25">
      <c r="A32" t="s">
        <v>74</v>
      </c>
    </row>
    <row r="33" spans="1:1" x14ac:dyDescent="0.25">
      <c r="A33" t="s">
        <v>75</v>
      </c>
    </row>
    <row r="34" spans="1:1" x14ac:dyDescent="0.25">
      <c r="A34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85</v>
      </c>
      <c r="B2" s="1" t="s">
        <v>38</v>
      </c>
      <c r="C2" t="s">
        <v>20</v>
      </c>
      <c r="D2" s="1" t="s">
        <v>38</v>
      </c>
      <c r="E2" s="1" t="s">
        <v>38</v>
      </c>
      <c r="F2" s="1">
        <v>2</v>
      </c>
      <c r="G2" s="1">
        <v>2</v>
      </c>
      <c r="H2" s="1" t="s">
        <v>39</v>
      </c>
      <c r="I2" s="1" t="s">
        <v>39</v>
      </c>
      <c r="J2" s="1" t="s">
        <v>39</v>
      </c>
      <c r="K2" s="1">
        <v>2</v>
      </c>
      <c r="L2" s="1">
        <v>2</v>
      </c>
      <c r="M2" t="s">
        <v>86</v>
      </c>
      <c r="N2" t="s">
        <v>87</v>
      </c>
      <c r="O2" t="s">
        <v>88</v>
      </c>
      <c r="P2">
        <v>16.5</v>
      </c>
    </row>
    <row r="3" spans="1:21" x14ac:dyDescent="0.25">
      <c r="A3" t="s">
        <v>85</v>
      </c>
      <c r="B3" s="11" t="s">
        <v>166</v>
      </c>
      <c r="C3" t="s">
        <v>20</v>
      </c>
      <c r="D3" s="10" t="s">
        <v>22</v>
      </c>
      <c r="E3" s="10" t="s">
        <v>22</v>
      </c>
      <c r="F3" s="10">
        <v>-1</v>
      </c>
      <c r="G3" s="10">
        <v>-1</v>
      </c>
      <c r="H3" s="11" t="s">
        <v>167</v>
      </c>
      <c r="I3" s="10" t="s">
        <v>22</v>
      </c>
      <c r="J3" s="10" t="s">
        <v>22</v>
      </c>
      <c r="K3" s="10">
        <v>-1</v>
      </c>
      <c r="L3" s="10">
        <v>-1</v>
      </c>
      <c r="M3" t="s">
        <v>45</v>
      </c>
      <c r="N3" t="s">
        <v>17</v>
      </c>
      <c r="Q3" t="s">
        <v>265</v>
      </c>
    </row>
    <row r="4" spans="1:21" x14ac:dyDescent="0.25">
      <c r="A4" t="s">
        <v>85</v>
      </c>
      <c r="B4" s="1" t="s">
        <v>89</v>
      </c>
      <c r="C4" t="s">
        <v>20</v>
      </c>
      <c r="D4" s="1" t="s">
        <v>89</v>
      </c>
      <c r="E4" s="1" t="s">
        <v>89</v>
      </c>
      <c r="F4" s="1">
        <v>2</v>
      </c>
      <c r="G4" s="1">
        <v>2</v>
      </c>
      <c r="H4" s="1" t="s">
        <v>90</v>
      </c>
      <c r="I4" s="1" t="s">
        <v>90</v>
      </c>
      <c r="J4" s="1" t="s">
        <v>91</v>
      </c>
      <c r="K4" s="1">
        <v>2</v>
      </c>
      <c r="L4" s="1">
        <v>2</v>
      </c>
      <c r="M4" t="s">
        <v>92</v>
      </c>
      <c r="N4" t="s">
        <v>93</v>
      </c>
      <c r="O4" t="s">
        <v>94</v>
      </c>
      <c r="P4">
        <v>50</v>
      </c>
    </row>
    <row r="7" spans="1:21" ht="15.75" x14ac:dyDescent="0.25">
      <c r="A7" s="3" t="s">
        <v>47</v>
      </c>
      <c r="H7" s="3" t="s">
        <v>48</v>
      </c>
    </row>
    <row r="8" spans="1:21" x14ac:dyDescent="0.25">
      <c r="A8" s="4" t="s">
        <v>49</v>
      </c>
      <c r="F8">
        <f>COUNTIFS(B2:B4,"&lt;&gt;*_*",B2:B4,"&lt;&gt;")</f>
        <v>3</v>
      </c>
      <c r="H8" s="4" t="s">
        <v>49</v>
      </c>
      <c r="K8">
        <f>COUNTIFS(B2:B4,"&lt;&gt;*_*",B2:B4,"&lt;&gt;",R2:R4,"&lt;&gt;TRUE")</f>
        <v>3</v>
      </c>
    </row>
    <row r="9" spans="1:21" x14ac:dyDescent="0.25">
      <c r="A9" s="4" t="s">
        <v>50</v>
      </c>
      <c r="F9">
        <f>COUNTIFS(F2:F4,"&gt;0")</f>
        <v>2</v>
      </c>
      <c r="H9" s="4" t="s">
        <v>50</v>
      </c>
      <c r="K9">
        <f>COUNTIFS(F2:F4,"&gt;0",R2:R4,"&lt;&gt;TRUE")</f>
        <v>2</v>
      </c>
    </row>
    <row r="10" spans="1:21" x14ac:dyDescent="0.25">
      <c r="A10" s="4" t="s">
        <v>51</v>
      </c>
      <c r="F10">
        <f>COUNTIFS(G2:G4,"&gt;0")</f>
        <v>2</v>
      </c>
      <c r="H10" s="4" t="s">
        <v>51</v>
      </c>
      <c r="K10">
        <f>COUNTIFS(G2:G4,"&gt;0",S2:S4,"&lt;&gt;TRUE")</f>
        <v>2</v>
      </c>
    </row>
    <row r="11" spans="1:21" x14ac:dyDescent="0.25">
      <c r="A11" s="4" t="s">
        <v>52</v>
      </c>
      <c r="F11">
        <f>COUNTIFS(F2:F4,"&lt;&gt;-1",F2:F4,"&lt;&gt;0",F2:F4,"&lt;2")</f>
        <v>0</v>
      </c>
      <c r="H11" s="4" t="s">
        <v>52</v>
      </c>
      <c r="K11">
        <f>COUNTIFS(F2:F4,"&lt;&gt;-1",F2:F4,"&lt;&gt;0",F2:F4,"&lt;2",R2:R4,"&lt;&gt;TRUE")</f>
        <v>0</v>
      </c>
    </row>
    <row r="12" spans="1:21" x14ac:dyDescent="0.25">
      <c r="A12" s="4" t="s">
        <v>53</v>
      </c>
      <c r="F12">
        <f>COUNTIFS(G2:G4,"&lt;&gt;-1",G2:G4,"&lt;&gt;0",G2:G4,"&lt;2")</f>
        <v>0</v>
      </c>
      <c r="H12" s="4" t="s">
        <v>53</v>
      </c>
      <c r="K12">
        <f>COUNTIFS(G2:G4,"&lt;&gt;-1",G2:G4,"&lt;&gt;0",G2:G4,"&lt;2",S2:S4,"&lt;&gt;TRUE")</f>
        <v>0</v>
      </c>
    </row>
    <row r="13" spans="1:21" x14ac:dyDescent="0.25">
      <c r="A13" s="4" t="s">
        <v>54</v>
      </c>
      <c r="F13">
        <f>COUNTIFS(F2:F4,"=-1")+COUNTIFS(F2:F4,"=-3")</f>
        <v>1</v>
      </c>
      <c r="H13" s="4" t="s">
        <v>54</v>
      </c>
      <c r="K13">
        <f>COUNTIFS(F2:F4,"=-1",R2:R4,"&lt;&gt;TRUE")+COUNTIFS(F2:F4,"=-3",R2:R4,"&lt;&gt;TRUE")</f>
        <v>1</v>
      </c>
    </row>
    <row r="14" spans="1:21" x14ac:dyDescent="0.25">
      <c r="A14" s="4" t="s">
        <v>55</v>
      </c>
      <c r="F14">
        <f>COUNTIFS(G2:G4,"=-1")+COUNTIFS(G2:G4,"=-3")</f>
        <v>1</v>
      </c>
      <c r="H14" s="4" t="s">
        <v>55</v>
      </c>
      <c r="K14">
        <f>COUNTIFS(G2:G4,"=-1",S2:S4,"&lt;&gt;TRUE")+COUNTIFS(G2:G4,"=-3",S2:S4,"&lt;&gt;TRUE")</f>
        <v>1</v>
      </c>
    </row>
    <row r="15" spans="1:21" x14ac:dyDescent="0.25">
      <c r="A15" s="4" t="s">
        <v>56</v>
      </c>
      <c r="F15" s="8">
        <f>F9/F8</f>
        <v>0.66666666666666663</v>
      </c>
      <c r="H15" s="4" t="s">
        <v>56</v>
      </c>
      <c r="K15" s="8">
        <f>K9/K8</f>
        <v>0.66666666666666663</v>
      </c>
    </row>
    <row r="16" spans="1:21" x14ac:dyDescent="0.25">
      <c r="A16" s="4" t="s">
        <v>57</v>
      </c>
      <c r="F16" s="8">
        <f>F10/F8</f>
        <v>0.66666666666666663</v>
      </c>
      <c r="H16" s="4" t="s">
        <v>58</v>
      </c>
      <c r="K16" s="8">
        <f>K10/K8</f>
        <v>0.66666666666666663</v>
      </c>
    </row>
    <row r="17" spans="1:11" x14ac:dyDescent="0.25">
      <c r="A17" s="4" t="s">
        <v>59</v>
      </c>
      <c r="F17" s="8">
        <f>F9/(F9+F11)</f>
        <v>1</v>
      </c>
      <c r="H17" s="4" t="s">
        <v>59</v>
      </c>
      <c r="K17" s="8">
        <f>K9/(K9+K11)</f>
        <v>1</v>
      </c>
    </row>
    <row r="18" spans="1:11" x14ac:dyDescent="0.25">
      <c r="A18" s="4" t="s">
        <v>60</v>
      </c>
      <c r="F18" s="8">
        <f>F10/(F10+F12)</f>
        <v>1</v>
      </c>
      <c r="H18" s="4" t="s">
        <v>60</v>
      </c>
      <c r="K18" s="8">
        <f>K10/(K10+K12)</f>
        <v>1</v>
      </c>
    </row>
    <row r="21" spans="1:11" ht="15.75" x14ac:dyDescent="0.25">
      <c r="A21" s="3" t="s">
        <v>61</v>
      </c>
      <c r="H21" s="3" t="s">
        <v>62</v>
      </c>
    </row>
    <row r="22" spans="1:11" x14ac:dyDescent="0.25">
      <c r="A22" s="4" t="s">
        <v>49</v>
      </c>
      <c r="F22">
        <f>COUNTIFS(H2:H4,"&lt;&gt;*_FP",H2:H4,"&lt;&gt;",H2:H4,"&lt;&gt;no structure")</f>
        <v>3</v>
      </c>
      <c r="H22" s="4" t="s">
        <v>49</v>
      </c>
      <c r="K22">
        <f>COUNTIFS(H2:H4,"&lt;&gt;*_FP",H2:H4,"&lt;&gt;",H2:H4,"&lt;&gt;no structure",T2:T4,"&lt;&gt;TRUE")</f>
        <v>3</v>
      </c>
    </row>
    <row r="23" spans="1:11" x14ac:dyDescent="0.25">
      <c r="A23" s="4" t="s">
        <v>50</v>
      </c>
      <c r="F23">
        <f>COUNTIFS(K2:K4,"&gt;0")</f>
        <v>2</v>
      </c>
      <c r="H23" s="4" t="s">
        <v>50</v>
      </c>
      <c r="K23">
        <f>COUNTIFS(K2:K4,"&gt;0",T2:T4,"&lt;&gt;TRUE")</f>
        <v>2</v>
      </c>
    </row>
    <row r="24" spans="1:11" x14ac:dyDescent="0.25">
      <c r="A24" s="4" t="s">
        <v>51</v>
      </c>
      <c r="F24">
        <f>COUNTIFS(L2:L4,"&gt;0")</f>
        <v>2</v>
      </c>
      <c r="H24" s="4" t="s">
        <v>51</v>
      </c>
      <c r="K24">
        <f>COUNTIFS(L2:L4,"&gt;0",U2:U4,"&lt;&gt;TRUE")</f>
        <v>2</v>
      </c>
    </row>
    <row r="25" spans="1:11" x14ac:dyDescent="0.25">
      <c r="A25" s="4" t="s">
        <v>52</v>
      </c>
      <c r="F25">
        <f>COUNTIFS(K2:K4,"&lt;&gt;-1",K2:K4,"&lt;&gt;0",K2:K4,"&lt;2")</f>
        <v>0</v>
      </c>
      <c r="H25" s="4" t="s">
        <v>52</v>
      </c>
      <c r="K25">
        <f>COUNTIFS(K2:K4,"&lt;&gt;-1",K2:K4,"&lt;&gt;0",K2:K4,"&lt;2",T2:T4,"&lt;&gt;TRUE")</f>
        <v>0</v>
      </c>
    </row>
    <row r="26" spans="1:11" x14ac:dyDescent="0.25">
      <c r="A26" s="4" t="s">
        <v>53</v>
      </c>
      <c r="F26">
        <f>COUNTIFS(L2:L4,"&lt;&gt;-1",L2:L4,"&lt;&gt;0",L2:L4,"&lt;2")</f>
        <v>0</v>
      </c>
      <c r="H26" s="4" t="s">
        <v>53</v>
      </c>
      <c r="K26">
        <f>COUNTIFS(L2:L4,"&lt;&gt;-1",L2:L4,"&lt;&gt;0",L2:L4,"&lt;2",U2:U4,"&lt;&gt;TRUE")</f>
        <v>0</v>
      </c>
    </row>
    <row r="27" spans="1:11" x14ac:dyDescent="0.25">
      <c r="A27" s="4" t="s">
        <v>54</v>
      </c>
      <c r="F27">
        <f>COUNTIFS(K2:K4,"=-1")+COUNTIFS(K2:K4,"=-3")</f>
        <v>1</v>
      </c>
      <c r="H27" s="4" t="s">
        <v>54</v>
      </c>
      <c r="K27">
        <f>COUNTIFS(K2:K4,"=-1",T2:T4,"&lt;&gt;TRUE")+COUNTIFS(K2:K4,"=-3",T2:T4,"&lt;&gt;TRUE")</f>
        <v>1</v>
      </c>
    </row>
    <row r="28" spans="1:11" x14ac:dyDescent="0.25">
      <c r="A28" s="4" t="s">
        <v>55</v>
      </c>
      <c r="F28">
        <f>COUNTIFS(L2:L4,"=-1")+COUNTIFS(L2:L4,"=-3")</f>
        <v>1</v>
      </c>
      <c r="H28" s="4" t="s">
        <v>55</v>
      </c>
      <c r="K28">
        <f>COUNTIFS(L2:L4,"=-1",U2:U4,"&lt;&gt;TRUE")+COUNTIFS(L2:L4,"=-3",U2:U4,"&lt;&gt;TRUE")</f>
        <v>1</v>
      </c>
    </row>
    <row r="29" spans="1:11" x14ac:dyDescent="0.25">
      <c r="A29" s="4" t="s">
        <v>56</v>
      </c>
      <c r="F29" s="8">
        <f>F23/F22</f>
        <v>0.66666666666666663</v>
      </c>
      <c r="H29" s="4" t="s">
        <v>56</v>
      </c>
      <c r="K29" s="8">
        <f>K23/K22</f>
        <v>0.66666666666666663</v>
      </c>
    </row>
    <row r="30" spans="1:11" x14ac:dyDescent="0.25">
      <c r="A30" s="4" t="s">
        <v>57</v>
      </c>
      <c r="F30" s="8">
        <f>F24/F22</f>
        <v>0.66666666666666663</v>
      </c>
      <c r="H30" s="4" t="s">
        <v>58</v>
      </c>
      <c r="K30" s="8">
        <f>K24/K22</f>
        <v>0.66666666666666663</v>
      </c>
    </row>
    <row r="31" spans="1:11" x14ac:dyDescent="0.25">
      <c r="A31" s="4" t="s">
        <v>59</v>
      </c>
      <c r="F31" s="8">
        <f>F23/(F23+F25)</f>
        <v>1</v>
      </c>
      <c r="H31" s="4" t="s">
        <v>59</v>
      </c>
      <c r="K31" s="8">
        <f>K23/(K23+K25)</f>
        <v>1</v>
      </c>
    </row>
    <row r="32" spans="1:11" x14ac:dyDescent="0.25">
      <c r="A32" s="4" t="s">
        <v>60</v>
      </c>
      <c r="F32" s="8">
        <f>F24/(F24+F26)</f>
        <v>1</v>
      </c>
      <c r="H32" s="4" t="s">
        <v>60</v>
      </c>
      <c r="K32" s="8">
        <f>K24/(K24+K26)</f>
        <v>1</v>
      </c>
    </row>
    <row r="35" spans="1:1" ht="15.75" x14ac:dyDescent="0.25">
      <c r="A35" s="3" t="s">
        <v>63</v>
      </c>
    </row>
    <row r="36" spans="1:1" x14ac:dyDescent="0.25">
      <c r="A36" s="1" t="s">
        <v>64</v>
      </c>
    </row>
    <row r="37" spans="1:1" x14ac:dyDescent="0.25">
      <c r="A37" s="5" t="s">
        <v>65</v>
      </c>
    </row>
    <row r="39" spans="1:1" x14ac:dyDescent="0.25">
      <c r="A39" s="1" t="s">
        <v>66</v>
      </c>
    </row>
    <row r="40" spans="1:1" x14ac:dyDescent="0.25">
      <c r="A40" s="6" t="s">
        <v>67</v>
      </c>
    </row>
    <row r="41" spans="1:1" x14ac:dyDescent="0.25">
      <c r="A41" s="7" t="s">
        <v>68</v>
      </c>
    </row>
    <row r="42" spans="1:1" x14ac:dyDescent="0.25">
      <c r="A42" s="5" t="s">
        <v>69</v>
      </c>
    </row>
    <row r="44" spans="1:1" x14ac:dyDescent="0.25">
      <c r="A44" s="4" t="s">
        <v>70</v>
      </c>
    </row>
    <row r="45" spans="1:1" x14ac:dyDescent="0.25">
      <c r="A45" t="s">
        <v>71</v>
      </c>
    </row>
    <row r="46" spans="1:1" x14ac:dyDescent="0.25">
      <c r="A46" t="s">
        <v>72</v>
      </c>
    </row>
    <row r="47" spans="1:1" x14ac:dyDescent="0.25">
      <c r="A47" t="s">
        <v>73</v>
      </c>
    </row>
    <row r="48" spans="1:1" x14ac:dyDescent="0.25">
      <c r="A48" t="s">
        <v>74</v>
      </c>
    </row>
    <row r="49" spans="1:1" x14ac:dyDescent="0.25">
      <c r="A49" t="s">
        <v>75</v>
      </c>
    </row>
    <row r="50" spans="1:1" x14ac:dyDescent="0.25">
      <c r="A50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topLeftCell="A49" workbookViewId="0"/>
  </sheetViews>
  <sheetFormatPr baseColWidth="10" defaultColWidth="8.85546875" defaultRowHeight="15" x14ac:dyDescent="0.25"/>
  <cols>
    <col min="2" max="2" width="11" customWidth="1"/>
    <col min="3" max="3" width="9.140625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95</v>
      </c>
      <c r="B2" s="1" t="s">
        <v>96</v>
      </c>
      <c r="C2" t="s">
        <v>97</v>
      </c>
      <c r="D2" t="s">
        <v>98</v>
      </c>
      <c r="E2" t="s">
        <v>22</v>
      </c>
      <c r="F2">
        <v>0</v>
      </c>
      <c r="G2">
        <v>0</v>
      </c>
      <c r="M2" t="s">
        <v>99</v>
      </c>
      <c r="N2" t="s">
        <v>100</v>
      </c>
      <c r="O2" t="s">
        <v>17</v>
      </c>
      <c r="Q2" t="s">
        <v>101</v>
      </c>
    </row>
    <row r="3" spans="1:21" x14ac:dyDescent="0.25">
      <c r="A3" t="s">
        <v>95</v>
      </c>
      <c r="B3" s="11" t="s">
        <v>214</v>
      </c>
      <c r="C3" t="s">
        <v>97</v>
      </c>
      <c r="D3" s="10" t="s">
        <v>22</v>
      </c>
      <c r="E3" s="10" t="s">
        <v>22</v>
      </c>
      <c r="F3" s="10">
        <v>-1</v>
      </c>
      <c r="G3" s="10">
        <v>-1</v>
      </c>
      <c r="H3" s="11" t="s">
        <v>266</v>
      </c>
      <c r="I3" s="10" t="s">
        <v>22</v>
      </c>
      <c r="J3" s="10" t="s">
        <v>22</v>
      </c>
      <c r="K3" s="10">
        <v>-1</v>
      </c>
      <c r="L3" s="10">
        <v>-1</v>
      </c>
      <c r="M3" t="s">
        <v>184</v>
      </c>
      <c r="N3" t="s">
        <v>17</v>
      </c>
    </row>
    <row r="4" spans="1:21" x14ac:dyDescent="0.25">
      <c r="A4" t="s">
        <v>95</v>
      </c>
      <c r="B4" s="1" t="s">
        <v>102</v>
      </c>
      <c r="C4" t="s">
        <v>97</v>
      </c>
      <c r="D4" s="1" t="s">
        <v>102</v>
      </c>
      <c r="E4" s="5" t="s">
        <v>22</v>
      </c>
      <c r="F4" s="1">
        <v>2</v>
      </c>
      <c r="G4" s="5">
        <v>-1</v>
      </c>
      <c r="H4" s="1" t="s">
        <v>103</v>
      </c>
      <c r="I4" s="1" t="s">
        <v>103</v>
      </c>
      <c r="J4" s="5" t="s">
        <v>22</v>
      </c>
      <c r="K4" s="1">
        <v>2</v>
      </c>
      <c r="L4" s="5">
        <v>-1</v>
      </c>
      <c r="M4" t="s">
        <v>104</v>
      </c>
      <c r="N4" t="s">
        <v>105</v>
      </c>
      <c r="O4" t="s">
        <v>17</v>
      </c>
    </row>
    <row r="5" spans="1:21" x14ac:dyDescent="0.25">
      <c r="A5" t="s">
        <v>95</v>
      </c>
      <c r="B5" s="1" t="s">
        <v>25</v>
      </c>
      <c r="C5" t="s">
        <v>97</v>
      </c>
      <c r="D5" s="1" t="s">
        <v>25</v>
      </c>
      <c r="E5" s="1" t="s">
        <v>25</v>
      </c>
      <c r="F5" s="1">
        <v>2</v>
      </c>
      <c r="G5" s="1">
        <v>2</v>
      </c>
      <c r="H5" s="1" t="s">
        <v>106</v>
      </c>
      <c r="I5" s="1" t="s">
        <v>106</v>
      </c>
      <c r="J5" s="1" t="s">
        <v>106</v>
      </c>
      <c r="K5" s="1">
        <v>2</v>
      </c>
      <c r="L5" s="1">
        <v>2</v>
      </c>
      <c r="M5" t="s">
        <v>107</v>
      </c>
      <c r="N5" t="s">
        <v>108</v>
      </c>
      <c r="O5" t="s">
        <v>109</v>
      </c>
      <c r="P5">
        <v>8.1</v>
      </c>
    </row>
    <row r="6" spans="1:21" x14ac:dyDescent="0.25">
      <c r="A6" t="s">
        <v>95</v>
      </c>
      <c r="B6" s="1" t="s">
        <v>25</v>
      </c>
      <c r="C6" t="s">
        <v>110</v>
      </c>
      <c r="D6" s="1" t="s">
        <v>25</v>
      </c>
      <c r="E6" s="5" t="s">
        <v>22</v>
      </c>
      <c r="F6" s="1">
        <v>2</v>
      </c>
      <c r="G6" s="5">
        <v>-1</v>
      </c>
      <c r="H6" s="1" t="s">
        <v>106</v>
      </c>
      <c r="I6" s="1" t="s">
        <v>106</v>
      </c>
      <c r="J6" s="5" t="s">
        <v>22</v>
      </c>
      <c r="K6" s="1">
        <v>2</v>
      </c>
      <c r="L6" s="5">
        <v>-1</v>
      </c>
      <c r="M6" t="s">
        <v>107</v>
      </c>
      <c r="N6" t="s">
        <v>108</v>
      </c>
      <c r="O6" t="s">
        <v>17</v>
      </c>
      <c r="R6" t="b">
        <v>1</v>
      </c>
      <c r="S6" t="b">
        <v>1</v>
      </c>
      <c r="T6" t="b">
        <v>1</v>
      </c>
      <c r="U6" t="b">
        <v>1</v>
      </c>
    </row>
    <row r="7" spans="1:21" x14ac:dyDescent="0.25">
      <c r="A7" t="s">
        <v>95</v>
      </c>
      <c r="B7" s="1" t="s">
        <v>111</v>
      </c>
      <c r="C7" t="s">
        <v>97</v>
      </c>
      <c r="D7" t="s">
        <v>112</v>
      </c>
      <c r="E7" t="s">
        <v>22</v>
      </c>
      <c r="F7">
        <v>0</v>
      </c>
      <c r="G7">
        <v>0</v>
      </c>
      <c r="M7" t="s">
        <v>113</v>
      </c>
      <c r="N7" t="s">
        <v>100</v>
      </c>
      <c r="O7" t="s">
        <v>17</v>
      </c>
      <c r="Q7" t="s">
        <v>101</v>
      </c>
    </row>
    <row r="8" spans="1:21" x14ac:dyDescent="0.25">
      <c r="A8" t="s">
        <v>95</v>
      </c>
      <c r="B8" s="1" t="s">
        <v>111</v>
      </c>
      <c r="C8" t="s">
        <v>110</v>
      </c>
      <c r="D8" t="s">
        <v>112</v>
      </c>
      <c r="E8" t="s">
        <v>22</v>
      </c>
      <c r="F8">
        <v>0</v>
      </c>
      <c r="G8">
        <v>0</v>
      </c>
      <c r="M8" t="s">
        <v>113</v>
      </c>
      <c r="N8" t="s">
        <v>100</v>
      </c>
      <c r="O8" t="s">
        <v>17</v>
      </c>
      <c r="Q8" t="s">
        <v>101</v>
      </c>
      <c r="R8" t="b">
        <v>1</v>
      </c>
      <c r="S8" t="b">
        <v>1</v>
      </c>
    </row>
    <row r="9" spans="1:21" x14ac:dyDescent="0.25">
      <c r="A9" t="s">
        <v>95</v>
      </c>
      <c r="B9" s="1" t="s">
        <v>114</v>
      </c>
      <c r="C9" t="s">
        <v>97</v>
      </c>
      <c r="D9" t="s">
        <v>115</v>
      </c>
      <c r="E9" t="s">
        <v>22</v>
      </c>
      <c r="F9">
        <v>0</v>
      </c>
      <c r="G9">
        <v>0</v>
      </c>
      <c r="M9" t="s">
        <v>116</v>
      </c>
      <c r="N9" t="s">
        <v>117</v>
      </c>
      <c r="O9" t="s">
        <v>17</v>
      </c>
      <c r="Q9" t="s">
        <v>101</v>
      </c>
    </row>
    <row r="10" spans="1:21" x14ac:dyDescent="0.25">
      <c r="A10" t="s">
        <v>95</v>
      </c>
      <c r="B10" s="1" t="s">
        <v>118</v>
      </c>
      <c r="C10" t="s">
        <v>97</v>
      </c>
      <c r="D10" t="s">
        <v>119</v>
      </c>
      <c r="E10" t="s">
        <v>22</v>
      </c>
      <c r="F10">
        <v>0</v>
      </c>
      <c r="G10">
        <v>0</v>
      </c>
      <c r="M10" t="s">
        <v>120</v>
      </c>
      <c r="N10" t="s">
        <v>121</v>
      </c>
      <c r="O10" t="s">
        <v>17</v>
      </c>
      <c r="Q10" t="s">
        <v>101</v>
      </c>
    </row>
    <row r="11" spans="1:21" x14ac:dyDescent="0.25">
      <c r="A11" t="s">
        <v>95</v>
      </c>
      <c r="B11" s="1" t="s">
        <v>118</v>
      </c>
      <c r="C11" t="s">
        <v>110</v>
      </c>
      <c r="D11" t="s">
        <v>119</v>
      </c>
      <c r="E11" t="s">
        <v>22</v>
      </c>
      <c r="F11">
        <v>0</v>
      </c>
      <c r="G11">
        <v>0</v>
      </c>
      <c r="M11" t="s">
        <v>120</v>
      </c>
      <c r="N11" t="s">
        <v>121</v>
      </c>
      <c r="O11" t="s">
        <v>17</v>
      </c>
      <c r="Q11" t="s">
        <v>101</v>
      </c>
      <c r="R11" t="b">
        <v>1</v>
      </c>
      <c r="S11" t="b">
        <v>1</v>
      </c>
    </row>
    <row r="12" spans="1:21" x14ac:dyDescent="0.25">
      <c r="A12" t="s">
        <v>95</v>
      </c>
      <c r="B12" s="1" t="s">
        <v>122</v>
      </c>
      <c r="C12" t="s">
        <v>97</v>
      </c>
      <c r="D12" t="s">
        <v>123</v>
      </c>
      <c r="E12" t="s">
        <v>22</v>
      </c>
      <c r="F12">
        <v>0</v>
      </c>
      <c r="G12">
        <v>0</v>
      </c>
      <c r="M12" t="s">
        <v>124</v>
      </c>
      <c r="N12" t="s">
        <v>125</v>
      </c>
      <c r="O12" t="s">
        <v>17</v>
      </c>
      <c r="Q12" t="s">
        <v>101</v>
      </c>
    </row>
    <row r="13" spans="1:21" x14ac:dyDescent="0.25">
      <c r="A13" t="s">
        <v>95</v>
      </c>
      <c r="B13" s="1" t="s">
        <v>126</v>
      </c>
      <c r="C13" t="s">
        <v>97</v>
      </c>
      <c r="D13" s="1" t="s">
        <v>126</v>
      </c>
      <c r="E13" s="5" t="s">
        <v>22</v>
      </c>
      <c r="F13" s="1">
        <v>2</v>
      </c>
      <c r="G13" s="5">
        <v>-1</v>
      </c>
      <c r="H13" s="1" t="s">
        <v>127</v>
      </c>
      <c r="I13" s="1" t="s">
        <v>127</v>
      </c>
      <c r="J13" s="5" t="s">
        <v>22</v>
      </c>
      <c r="K13" s="1">
        <v>2</v>
      </c>
      <c r="L13" s="5">
        <v>-1</v>
      </c>
      <c r="M13" t="s">
        <v>128</v>
      </c>
      <c r="N13" t="s">
        <v>129</v>
      </c>
      <c r="O13" t="s">
        <v>17</v>
      </c>
    </row>
    <row r="14" spans="1:21" x14ac:dyDescent="0.25">
      <c r="A14" t="s">
        <v>95</v>
      </c>
      <c r="B14" s="1" t="s">
        <v>126</v>
      </c>
      <c r="C14" t="s">
        <v>110</v>
      </c>
      <c r="D14" s="1" t="s">
        <v>126</v>
      </c>
      <c r="E14" s="5" t="s">
        <v>22</v>
      </c>
      <c r="F14" s="1">
        <v>2</v>
      </c>
      <c r="G14" s="5">
        <v>-1</v>
      </c>
      <c r="H14" s="1" t="s">
        <v>127</v>
      </c>
      <c r="I14" s="1" t="s">
        <v>127</v>
      </c>
      <c r="J14" s="5" t="s">
        <v>22</v>
      </c>
      <c r="K14" s="1">
        <v>2</v>
      </c>
      <c r="L14" s="5">
        <v>-1</v>
      </c>
      <c r="M14" t="s">
        <v>128</v>
      </c>
      <c r="N14" t="s">
        <v>129</v>
      </c>
      <c r="O14" t="s">
        <v>17</v>
      </c>
      <c r="R14" t="b">
        <v>1</v>
      </c>
      <c r="S14" t="b">
        <v>1</v>
      </c>
      <c r="T14" t="b">
        <v>1</v>
      </c>
      <c r="U14" t="b">
        <v>1</v>
      </c>
    </row>
    <row r="15" spans="1:21" x14ac:dyDescent="0.25">
      <c r="A15" t="s">
        <v>95</v>
      </c>
      <c r="B15" s="1" t="s">
        <v>130</v>
      </c>
      <c r="C15" t="s">
        <v>97</v>
      </c>
      <c r="D15" s="1" t="s">
        <v>130</v>
      </c>
      <c r="E15" s="1" t="s">
        <v>130</v>
      </c>
      <c r="F15" s="1">
        <v>2</v>
      </c>
      <c r="G15" s="1">
        <v>2</v>
      </c>
      <c r="H15" s="1" t="s">
        <v>131</v>
      </c>
      <c r="I15" s="1" t="s">
        <v>131</v>
      </c>
      <c r="J15" s="1" t="s">
        <v>131</v>
      </c>
      <c r="K15" s="1">
        <v>2</v>
      </c>
      <c r="L15" s="1">
        <v>2</v>
      </c>
      <c r="M15" t="s">
        <v>132</v>
      </c>
      <c r="N15" t="s">
        <v>133</v>
      </c>
    </row>
    <row r="16" spans="1:21" x14ac:dyDescent="0.25">
      <c r="A16" t="s">
        <v>95</v>
      </c>
      <c r="B16" s="1" t="s">
        <v>130</v>
      </c>
      <c r="C16" t="s">
        <v>110</v>
      </c>
      <c r="D16" s="1" t="s">
        <v>130</v>
      </c>
      <c r="E16" s="1" t="s">
        <v>130</v>
      </c>
      <c r="F16" s="1">
        <v>2</v>
      </c>
      <c r="G16" s="1">
        <v>2</v>
      </c>
      <c r="H16" s="1" t="s">
        <v>131</v>
      </c>
      <c r="I16" s="1" t="s">
        <v>131</v>
      </c>
      <c r="J16" s="1" t="s">
        <v>131</v>
      </c>
      <c r="K16" s="1">
        <v>2</v>
      </c>
      <c r="L16" s="1">
        <v>2</v>
      </c>
      <c r="M16" t="s">
        <v>132</v>
      </c>
      <c r="N16" t="s">
        <v>133</v>
      </c>
      <c r="O16" t="s">
        <v>134</v>
      </c>
      <c r="P16">
        <v>15.4</v>
      </c>
      <c r="R16" t="b">
        <v>1</v>
      </c>
      <c r="S16" t="b">
        <v>1</v>
      </c>
      <c r="T16" t="b">
        <v>1</v>
      </c>
      <c r="U16" t="b">
        <v>1</v>
      </c>
    </row>
    <row r="17" spans="1:21" x14ac:dyDescent="0.25">
      <c r="A17" t="s">
        <v>95</v>
      </c>
      <c r="B17" s="1" t="s">
        <v>135</v>
      </c>
      <c r="C17" t="s">
        <v>97</v>
      </c>
      <c r="D17" s="1" t="s">
        <v>135</v>
      </c>
      <c r="E17" s="1" t="s">
        <v>135</v>
      </c>
      <c r="F17" s="1">
        <v>2</v>
      </c>
      <c r="G17" s="1">
        <v>2</v>
      </c>
      <c r="H17" s="1" t="s">
        <v>136</v>
      </c>
      <c r="I17" s="1" t="s">
        <v>136</v>
      </c>
      <c r="J17" s="1" t="s">
        <v>137</v>
      </c>
      <c r="K17" s="1">
        <v>2</v>
      </c>
      <c r="L17" s="1">
        <v>2</v>
      </c>
      <c r="M17" t="s">
        <v>138</v>
      </c>
      <c r="N17" t="s">
        <v>80</v>
      </c>
      <c r="O17" t="s">
        <v>139</v>
      </c>
      <c r="P17">
        <v>2.4</v>
      </c>
    </row>
    <row r="18" spans="1:21" x14ac:dyDescent="0.25">
      <c r="H18" s="1" t="s">
        <v>140</v>
      </c>
      <c r="I18" s="1" t="s">
        <v>140</v>
      </c>
      <c r="J18" s="1" t="s">
        <v>140</v>
      </c>
      <c r="K18" s="1">
        <v>2</v>
      </c>
      <c r="L18" s="1">
        <v>2</v>
      </c>
      <c r="M18" t="s">
        <v>138</v>
      </c>
      <c r="N18" t="s">
        <v>80</v>
      </c>
      <c r="O18" t="s">
        <v>141</v>
      </c>
      <c r="P18">
        <v>1</v>
      </c>
    </row>
    <row r="19" spans="1:21" x14ac:dyDescent="0.25">
      <c r="A19" t="s">
        <v>95</v>
      </c>
      <c r="B19" s="1" t="s">
        <v>135</v>
      </c>
      <c r="C19" t="s">
        <v>110</v>
      </c>
      <c r="D19" s="1" t="s">
        <v>135</v>
      </c>
      <c r="E19" s="5" t="s">
        <v>22</v>
      </c>
      <c r="F19" s="1">
        <v>2</v>
      </c>
      <c r="G19" s="5">
        <v>-1</v>
      </c>
      <c r="H19" s="1" t="s">
        <v>136</v>
      </c>
      <c r="I19" s="1" t="s">
        <v>136</v>
      </c>
      <c r="J19" s="5" t="s">
        <v>22</v>
      </c>
      <c r="K19" s="1">
        <v>2</v>
      </c>
      <c r="L19" s="5">
        <v>-1</v>
      </c>
      <c r="M19" t="s">
        <v>138</v>
      </c>
      <c r="N19" t="s">
        <v>80</v>
      </c>
      <c r="O19" t="s">
        <v>17</v>
      </c>
      <c r="R19" t="b">
        <v>1</v>
      </c>
      <c r="S19" t="b">
        <v>1</v>
      </c>
      <c r="T19" t="b">
        <v>1</v>
      </c>
      <c r="U19" t="b">
        <v>1</v>
      </c>
    </row>
    <row r="20" spans="1:21" x14ac:dyDescent="0.25">
      <c r="H20" s="1" t="s">
        <v>140</v>
      </c>
      <c r="I20" s="1" t="s">
        <v>140</v>
      </c>
      <c r="J20" s="5" t="s">
        <v>22</v>
      </c>
      <c r="K20" s="1">
        <v>2</v>
      </c>
      <c r="L20" s="5">
        <v>-1</v>
      </c>
      <c r="M20" t="s">
        <v>138</v>
      </c>
      <c r="N20" t="s">
        <v>80</v>
      </c>
      <c r="O20" t="s">
        <v>17</v>
      </c>
      <c r="T20" t="b">
        <v>1</v>
      </c>
      <c r="U20" t="b">
        <v>1</v>
      </c>
    </row>
    <row r="21" spans="1:21" x14ac:dyDescent="0.25">
      <c r="A21" t="s">
        <v>95</v>
      </c>
      <c r="B21" s="1" t="s">
        <v>28</v>
      </c>
      <c r="C21" t="s">
        <v>97</v>
      </c>
      <c r="D21" s="1" t="s">
        <v>28</v>
      </c>
      <c r="E21" s="1" t="s">
        <v>28</v>
      </c>
      <c r="F21" s="1">
        <v>2</v>
      </c>
      <c r="G21" s="1">
        <v>2</v>
      </c>
      <c r="H21" s="1" t="s">
        <v>29</v>
      </c>
      <c r="I21" s="1" t="s">
        <v>29</v>
      </c>
      <c r="J21" s="1" t="s">
        <v>29</v>
      </c>
      <c r="K21" s="1">
        <v>2</v>
      </c>
      <c r="L21" s="1">
        <v>2</v>
      </c>
      <c r="M21" t="s">
        <v>124</v>
      </c>
      <c r="N21" t="s">
        <v>142</v>
      </c>
      <c r="O21" t="s">
        <v>143</v>
      </c>
      <c r="P21">
        <v>14.7</v>
      </c>
    </row>
    <row r="22" spans="1:21" x14ac:dyDescent="0.25">
      <c r="A22" t="s">
        <v>95</v>
      </c>
      <c r="B22" s="1" t="s">
        <v>28</v>
      </c>
      <c r="C22" t="s">
        <v>110</v>
      </c>
      <c r="D22" s="1" t="s">
        <v>28</v>
      </c>
      <c r="E22" s="1" t="s">
        <v>28</v>
      </c>
      <c r="F22" s="1">
        <v>2</v>
      </c>
      <c r="G22" s="1">
        <v>2</v>
      </c>
      <c r="H22" s="1" t="s">
        <v>29</v>
      </c>
      <c r="I22" s="1" t="s">
        <v>29</v>
      </c>
      <c r="J22" s="1" t="s">
        <v>29</v>
      </c>
      <c r="K22" s="1">
        <v>2</v>
      </c>
      <c r="L22" s="1">
        <v>2</v>
      </c>
      <c r="M22" t="s">
        <v>124</v>
      </c>
      <c r="N22" t="s">
        <v>142</v>
      </c>
      <c r="O22" t="s">
        <v>144</v>
      </c>
      <c r="P22">
        <v>32</v>
      </c>
      <c r="R22" t="b">
        <v>1</v>
      </c>
      <c r="S22" t="b">
        <v>1</v>
      </c>
      <c r="T22" t="b">
        <v>1</v>
      </c>
      <c r="U22" t="b">
        <v>1</v>
      </c>
    </row>
    <row r="23" spans="1:21" x14ac:dyDescent="0.25">
      <c r="B23" s="1"/>
      <c r="D23" s="1"/>
      <c r="E23" s="1"/>
      <c r="F23" s="1"/>
      <c r="G23" s="1"/>
      <c r="H23" s="11" t="s">
        <v>227</v>
      </c>
      <c r="I23" s="10" t="s">
        <v>22</v>
      </c>
      <c r="J23" s="10" t="s">
        <v>22</v>
      </c>
      <c r="K23" s="10">
        <v>-1</v>
      </c>
      <c r="L23" s="10">
        <v>-1</v>
      </c>
      <c r="M23" t="s">
        <v>92</v>
      </c>
      <c r="N23" t="s">
        <v>17</v>
      </c>
      <c r="Q23" t="s">
        <v>267</v>
      </c>
    </row>
    <row r="24" spans="1:21" x14ac:dyDescent="0.25">
      <c r="A24" t="s">
        <v>95</v>
      </c>
      <c r="B24" s="1" t="s">
        <v>145</v>
      </c>
      <c r="C24" t="s">
        <v>97</v>
      </c>
      <c r="D24" t="s">
        <v>146</v>
      </c>
      <c r="E24" t="s">
        <v>22</v>
      </c>
      <c r="F24">
        <v>0</v>
      </c>
      <c r="G24">
        <v>0</v>
      </c>
      <c r="M24" t="s">
        <v>147</v>
      </c>
      <c r="N24" t="s">
        <v>148</v>
      </c>
      <c r="O24" t="s">
        <v>17</v>
      </c>
      <c r="Q24" t="s">
        <v>101</v>
      </c>
    </row>
    <row r="25" spans="1:21" x14ac:dyDescent="0.25">
      <c r="A25" t="s">
        <v>95</v>
      </c>
      <c r="B25" s="1" t="s">
        <v>149</v>
      </c>
      <c r="C25" t="s">
        <v>97</v>
      </c>
      <c r="D25" t="s">
        <v>32</v>
      </c>
      <c r="E25" t="s">
        <v>22</v>
      </c>
      <c r="F25">
        <v>0</v>
      </c>
      <c r="G25">
        <v>0</v>
      </c>
      <c r="M25" t="s">
        <v>79</v>
      </c>
      <c r="N25" t="s">
        <v>150</v>
      </c>
      <c r="O25" t="s">
        <v>17</v>
      </c>
      <c r="Q25" t="s">
        <v>101</v>
      </c>
    </row>
    <row r="26" spans="1:21" x14ac:dyDescent="0.25">
      <c r="A26" t="s">
        <v>95</v>
      </c>
      <c r="B26" s="1" t="s">
        <v>151</v>
      </c>
      <c r="C26" t="s">
        <v>110</v>
      </c>
      <c r="D26" t="s">
        <v>152</v>
      </c>
      <c r="E26" t="s">
        <v>22</v>
      </c>
      <c r="F26">
        <v>0</v>
      </c>
      <c r="G26">
        <v>0</v>
      </c>
      <c r="M26" t="s">
        <v>153</v>
      </c>
      <c r="N26" t="s">
        <v>154</v>
      </c>
      <c r="O26" t="s">
        <v>17</v>
      </c>
      <c r="Q26" t="s">
        <v>101</v>
      </c>
    </row>
    <row r="27" spans="1:21" x14ac:dyDescent="0.25">
      <c r="A27" t="s">
        <v>95</v>
      </c>
      <c r="B27" s="11" t="s">
        <v>268</v>
      </c>
      <c r="C27" t="s">
        <v>97</v>
      </c>
      <c r="D27" s="10" t="s">
        <v>22</v>
      </c>
      <c r="E27" s="10" t="s">
        <v>22</v>
      </c>
      <c r="F27" s="10">
        <v>-1</v>
      </c>
      <c r="G27" s="10">
        <v>-1</v>
      </c>
      <c r="H27" s="11" t="s">
        <v>269</v>
      </c>
      <c r="I27" s="10" t="s">
        <v>22</v>
      </c>
      <c r="J27" s="10" t="s">
        <v>22</v>
      </c>
      <c r="K27" s="10">
        <v>-1</v>
      </c>
      <c r="L27" s="10">
        <v>-1</v>
      </c>
      <c r="M27" t="s">
        <v>270</v>
      </c>
      <c r="N27" t="s">
        <v>17</v>
      </c>
      <c r="O27" s="13"/>
    </row>
    <row r="28" spans="1:21" x14ac:dyDescent="0.25">
      <c r="A28" t="s">
        <v>95</v>
      </c>
      <c r="B28" s="1" t="s">
        <v>36</v>
      </c>
      <c r="C28" t="s">
        <v>97</v>
      </c>
      <c r="D28" s="1" t="s">
        <v>36</v>
      </c>
      <c r="E28" s="1" t="s">
        <v>36</v>
      </c>
      <c r="F28" s="1">
        <v>2</v>
      </c>
      <c r="G28" s="1">
        <v>2</v>
      </c>
      <c r="H28" s="1" t="s">
        <v>155</v>
      </c>
      <c r="I28" s="1" t="s">
        <v>155</v>
      </c>
      <c r="J28" s="1" t="s">
        <v>37</v>
      </c>
      <c r="K28" s="1">
        <v>2</v>
      </c>
      <c r="L28" s="1">
        <v>2</v>
      </c>
      <c r="M28" t="s">
        <v>156</v>
      </c>
      <c r="N28" t="s">
        <v>157</v>
      </c>
      <c r="O28" t="s">
        <v>158</v>
      </c>
      <c r="P28">
        <v>21.9</v>
      </c>
    </row>
    <row r="29" spans="1:21" x14ac:dyDescent="0.25">
      <c r="A29" t="s">
        <v>95</v>
      </c>
      <c r="B29" s="1" t="s">
        <v>36</v>
      </c>
      <c r="C29" t="s">
        <v>110</v>
      </c>
      <c r="D29" s="1" t="s">
        <v>36</v>
      </c>
      <c r="E29" s="5" t="s">
        <v>22</v>
      </c>
      <c r="F29" s="1">
        <v>2</v>
      </c>
      <c r="G29" s="5">
        <v>-1</v>
      </c>
      <c r="H29" s="1" t="s">
        <v>155</v>
      </c>
      <c r="I29" s="1" t="s">
        <v>155</v>
      </c>
      <c r="J29" s="5" t="s">
        <v>22</v>
      </c>
      <c r="K29" s="1">
        <v>2</v>
      </c>
      <c r="L29" s="5">
        <v>-1</v>
      </c>
      <c r="M29" t="s">
        <v>156</v>
      </c>
      <c r="N29" t="s">
        <v>157</v>
      </c>
      <c r="O29" t="s">
        <v>17</v>
      </c>
      <c r="R29" t="b">
        <v>1</v>
      </c>
      <c r="S29" t="b">
        <v>1</v>
      </c>
      <c r="T29" t="b">
        <v>1</v>
      </c>
      <c r="U29" t="b">
        <v>1</v>
      </c>
    </row>
    <row r="30" spans="1:21" x14ac:dyDescent="0.25">
      <c r="A30" t="s">
        <v>95</v>
      </c>
      <c r="B30" s="1" t="s">
        <v>38</v>
      </c>
      <c r="C30" t="s">
        <v>97</v>
      </c>
      <c r="D30" s="1" t="s">
        <v>38</v>
      </c>
      <c r="E30" s="1" t="s">
        <v>38</v>
      </c>
      <c r="F30" s="1">
        <v>2</v>
      </c>
      <c r="G30" s="1">
        <v>2</v>
      </c>
      <c r="H30" s="1" t="s">
        <v>39</v>
      </c>
      <c r="I30" s="1" t="s">
        <v>39</v>
      </c>
      <c r="J30" s="1" t="s">
        <v>39</v>
      </c>
      <c r="K30" s="1">
        <v>2</v>
      </c>
      <c r="L30" s="1">
        <v>2</v>
      </c>
      <c r="M30" t="s">
        <v>159</v>
      </c>
      <c r="N30" t="s">
        <v>160</v>
      </c>
      <c r="O30" t="s">
        <v>161</v>
      </c>
      <c r="P30">
        <v>15</v>
      </c>
    </row>
    <row r="31" spans="1:21" x14ac:dyDescent="0.25">
      <c r="A31" t="s">
        <v>95</v>
      </c>
      <c r="B31" s="1" t="s">
        <v>38</v>
      </c>
      <c r="C31" t="s">
        <v>110</v>
      </c>
      <c r="D31" s="1" t="s">
        <v>38</v>
      </c>
      <c r="E31" s="1" t="s">
        <v>38</v>
      </c>
      <c r="F31" s="1">
        <v>2</v>
      </c>
      <c r="G31" s="1">
        <v>2</v>
      </c>
      <c r="H31" s="1" t="s">
        <v>39</v>
      </c>
      <c r="I31" s="1" t="s">
        <v>39</v>
      </c>
      <c r="J31" s="1" t="s">
        <v>39</v>
      </c>
      <c r="K31" s="1">
        <v>2</v>
      </c>
      <c r="L31" s="1">
        <v>2</v>
      </c>
      <c r="M31" t="s">
        <v>159</v>
      </c>
      <c r="N31" t="s">
        <v>160</v>
      </c>
      <c r="O31" t="s">
        <v>162</v>
      </c>
      <c r="P31">
        <v>32</v>
      </c>
      <c r="R31" t="b">
        <v>1</v>
      </c>
      <c r="S31" t="b">
        <v>1</v>
      </c>
      <c r="T31" t="b">
        <v>1</v>
      </c>
      <c r="U31" t="b">
        <v>1</v>
      </c>
    </row>
    <row r="32" spans="1:21" x14ac:dyDescent="0.25">
      <c r="A32" t="s">
        <v>95</v>
      </c>
      <c r="B32" s="1" t="s">
        <v>43</v>
      </c>
      <c r="C32" t="s">
        <v>97</v>
      </c>
      <c r="D32" s="1" t="s">
        <v>43</v>
      </c>
      <c r="E32" s="1" t="s">
        <v>43</v>
      </c>
      <c r="F32" s="1">
        <v>2</v>
      </c>
      <c r="G32" s="1">
        <v>2</v>
      </c>
      <c r="H32" s="1" t="s">
        <v>44</v>
      </c>
      <c r="I32" s="1" t="s">
        <v>44</v>
      </c>
      <c r="J32" s="1" t="s">
        <v>44</v>
      </c>
      <c r="K32" s="1">
        <v>2</v>
      </c>
      <c r="L32" s="1">
        <v>2</v>
      </c>
      <c r="M32" t="s">
        <v>163</v>
      </c>
      <c r="N32" t="s">
        <v>164</v>
      </c>
      <c r="O32" t="s">
        <v>165</v>
      </c>
      <c r="P32">
        <v>1.9</v>
      </c>
    </row>
    <row r="33" spans="1:21" x14ac:dyDescent="0.25">
      <c r="A33" t="s">
        <v>95</v>
      </c>
      <c r="B33" s="1" t="s">
        <v>166</v>
      </c>
      <c r="C33" t="s">
        <v>97</v>
      </c>
      <c r="D33" s="1" t="s">
        <v>166</v>
      </c>
      <c r="E33" s="1" t="s">
        <v>166</v>
      </c>
      <c r="F33" s="1">
        <v>2</v>
      </c>
      <c r="G33" s="1">
        <v>2</v>
      </c>
      <c r="H33" s="1" t="s">
        <v>167</v>
      </c>
      <c r="I33" s="1" t="s">
        <v>167</v>
      </c>
      <c r="J33" s="1" t="s">
        <v>168</v>
      </c>
      <c r="K33" s="1">
        <v>2</v>
      </c>
      <c r="L33" s="1">
        <v>2</v>
      </c>
      <c r="M33" t="s">
        <v>169</v>
      </c>
      <c r="N33" t="s">
        <v>170</v>
      </c>
      <c r="O33" t="s">
        <v>171</v>
      </c>
      <c r="P33">
        <v>33.299999999999997</v>
      </c>
    </row>
    <row r="34" spans="1:21" x14ac:dyDescent="0.25">
      <c r="H34" s="1" t="s">
        <v>172</v>
      </c>
      <c r="I34" s="1" t="s">
        <v>172</v>
      </c>
      <c r="J34" s="1" t="s">
        <v>172</v>
      </c>
      <c r="K34" s="1">
        <v>2</v>
      </c>
      <c r="L34" s="1">
        <v>2</v>
      </c>
      <c r="M34" t="s">
        <v>169</v>
      </c>
      <c r="N34" t="s">
        <v>170</v>
      </c>
      <c r="O34" t="s">
        <v>173</v>
      </c>
      <c r="P34">
        <v>2.8</v>
      </c>
    </row>
    <row r="35" spans="1:21" x14ac:dyDescent="0.25">
      <c r="A35" t="s">
        <v>95</v>
      </c>
      <c r="B35" s="1" t="s">
        <v>166</v>
      </c>
      <c r="C35" t="s">
        <v>110</v>
      </c>
      <c r="D35" s="1" t="s">
        <v>166</v>
      </c>
      <c r="E35" s="5" t="s">
        <v>22</v>
      </c>
      <c r="F35" s="1">
        <v>2</v>
      </c>
      <c r="G35" s="5">
        <v>-1</v>
      </c>
      <c r="H35" s="1" t="s">
        <v>167</v>
      </c>
      <c r="I35" s="1" t="s">
        <v>174</v>
      </c>
      <c r="J35" s="5" t="s">
        <v>22</v>
      </c>
      <c r="K35" s="1">
        <v>2</v>
      </c>
      <c r="L35" s="5">
        <v>-1</v>
      </c>
      <c r="M35" t="s">
        <v>169</v>
      </c>
      <c r="N35" t="s">
        <v>170</v>
      </c>
      <c r="O35" t="s">
        <v>17</v>
      </c>
      <c r="R35" t="b">
        <v>1</v>
      </c>
      <c r="S35" t="b">
        <v>1</v>
      </c>
      <c r="T35" t="b">
        <v>1</v>
      </c>
      <c r="U35" t="b">
        <v>1</v>
      </c>
    </row>
    <row r="36" spans="1:21" x14ac:dyDescent="0.25">
      <c r="A36" t="s">
        <v>95</v>
      </c>
      <c r="B36" s="1" t="s">
        <v>175</v>
      </c>
      <c r="C36" t="s">
        <v>97</v>
      </c>
      <c r="D36" t="s">
        <v>176</v>
      </c>
      <c r="E36" t="s">
        <v>22</v>
      </c>
      <c r="F36">
        <v>0</v>
      </c>
      <c r="G36">
        <v>0</v>
      </c>
      <c r="M36" t="s">
        <v>163</v>
      </c>
      <c r="N36" t="s">
        <v>177</v>
      </c>
      <c r="O36" t="s">
        <v>17</v>
      </c>
      <c r="Q36" t="s">
        <v>101</v>
      </c>
    </row>
    <row r="37" spans="1:21" x14ac:dyDescent="0.25">
      <c r="A37" t="s">
        <v>95</v>
      </c>
      <c r="B37" s="1" t="s">
        <v>178</v>
      </c>
      <c r="C37" t="s">
        <v>97</v>
      </c>
      <c r="D37" t="s">
        <v>179</v>
      </c>
      <c r="E37" t="s">
        <v>22</v>
      </c>
      <c r="F37">
        <v>0</v>
      </c>
      <c r="G37">
        <v>0</v>
      </c>
      <c r="M37" t="s">
        <v>180</v>
      </c>
      <c r="N37" t="s">
        <v>181</v>
      </c>
      <c r="O37" t="s">
        <v>17</v>
      </c>
      <c r="Q37" t="s">
        <v>101</v>
      </c>
    </row>
    <row r="38" spans="1:21" x14ac:dyDescent="0.25">
      <c r="A38" t="s">
        <v>95</v>
      </c>
      <c r="B38" s="1" t="s">
        <v>182</v>
      </c>
      <c r="C38" t="s">
        <v>110</v>
      </c>
      <c r="D38" t="s">
        <v>183</v>
      </c>
      <c r="E38" t="s">
        <v>22</v>
      </c>
      <c r="F38">
        <v>0</v>
      </c>
      <c r="G38">
        <v>0</v>
      </c>
      <c r="M38" t="s">
        <v>184</v>
      </c>
      <c r="N38" t="s">
        <v>185</v>
      </c>
      <c r="O38" t="s">
        <v>17</v>
      </c>
      <c r="Q38" t="s">
        <v>101</v>
      </c>
    </row>
    <row r="39" spans="1:21" x14ac:dyDescent="0.25">
      <c r="A39" t="s">
        <v>95</v>
      </c>
      <c r="B39" s="1" t="s">
        <v>186</v>
      </c>
      <c r="C39" t="s">
        <v>97</v>
      </c>
      <c r="D39" t="s">
        <v>187</v>
      </c>
      <c r="E39" t="s">
        <v>22</v>
      </c>
      <c r="F39">
        <v>0</v>
      </c>
      <c r="G39">
        <v>0</v>
      </c>
      <c r="M39" t="s">
        <v>188</v>
      </c>
      <c r="N39" t="s">
        <v>189</v>
      </c>
      <c r="O39" t="s">
        <v>17</v>
      </c>
      <c r="Q39" t="s">
        <v>101</v>
      </c>
    </row>
    <row r="40" spans="1:21" x14ac:dyDescent="0.25">
      <c r="A40" t="s">
        <v>95</v>
      </c>
      <c r="B40" s="1" t="s">
        <v>89</v>
      </c>
      <c r="C40" t="s">
        <v>97</v>
      </c>
      <c r="D40" s="1" t="s">
        <v>89</v>
      </c>
      <c r="E40" s="1" t="s">
        <v>89</v>
      </c>
      <c r="F40" s="1">
        <v>2</v>
      </c>
      <c r="G40" s="1">
        <v>2</v>
      </c>
      <c r="H40" s="1" t="s">
        <v>90</v>
      </c>
      <c r="I40" s="1" t="s">
        <v>190</v>
      </c>
      <c r="J40" s="1" t="s">
        <v>91</v>
      </c>
      <c r="K40" s="1">
        <v>2</v>
      </c>
      <c r="L40" s="1">
        <v>2</v>
      </c>
      <c r="M40" t="s">
        <v>120</v>
      </c>
      <c r="N40" t="s">
        <v>191</v>
      </c>
      <c r="O40" t="s">
        <v>192</v>
      </c>
      <c r="P40">
        <v>40.5</v>
      </c>
    </row>
    <row r="41" spans="1:21" x14ac:dyDescent="0.25">
      <c r="B41" s="1"/>
      <c r="D41" s="1"/>
      <c r="E41" s="1"/>
      <c r="F41" s="1"/>
      <c r="G41" s="1"/>
      <c r="H41" s="11" t="s">
        <v>271</v>
      </c>
      <c r="I41" s="10" t="s">
        <v>22</v>
      </c>
      <c r="J41" s="10" t="s">
        <v>22</v>
      </c>
      <c r="K41" s="10">
        <v>-1</v>
      </c>
      <c r="L41" s="10">
        <v>-1</v>
      </c>
      <c r="M41" t="s">
        <v>120</v>
      </c>
      <c r="N41" t="s">
        <v>17</v>
      </c>
      <c r="Q41" t="s">
        <v>272</v>
      </c>
    </row>
    <row r="42" spans="1:21" x14ac:dyDescent="0.25">
      <c r="A42" t="s">
        <v>95</v>
      </c>
      <c r="B42" s="1" t="s">
        <v>89</v>
      </c>
      <c r="C42" t="s">
        <v>110</v>
      </c>
      <c r="D42" s="1" t="s">
        <v>89</v>
      </c>
      <c r="E42" s="5" t="s">
        <v>22</v>
      </c>
      <c r="F42" s="1">
        <v>2</v>
      </c>
      <c r="G42" s="5">
        <v>-1</v>
      </c>
      <c r="H42" s="1" t="s">
        <v>90</v>
      </c>
      <c r="I42" s="1" t="s">
        <v>193</v>
      </c>
      <c r="J42" s="5" t="s">
        <v>22</v>
      </c>
      <c r="K42" s="1">
        <v>2</v>
      </c>
      <c r="L42" s="5">
        <v>-1</v>
      </c>
      <c r="M42" t="s">
        <v>120</v>
      </c>
      <c r="N42" t="s">
        <v>191</v>
      </c>
      <c r="O42" t="s">
        <v>17</v>
      </c>
      <c r="R42" t="b">
        <v>1</v>
      </c>
      <c r="S42" t="b">
        <v>1</v>
      </c>
      <c r="T42" t="b">
        <v>1</v>
      </c>
      <c r="U42" t="b">
        <v>1</v>
      </c>
    </row>
    <row r="43" spans="1:21" x14ac:dyDescent="0.25">
      <c r="A43" t="s">
        <v>95</v>
      </c>
      <c r="B43" s="1" t="s">
        <v>194</v>
      </c>
      <c r="C43" t="s">
        <v>97</v>
      </c>
      <c r="D43" t="s">
        <v>195</v>
      </c>
      <c r="E43" t="s">
        <v>22</v>
      </c>
      <c r="F43">
        <v>0</v>
      </c>
      <c r="G43">
        <v>0</v>
      </c>
      <c r="M43" t="s">
        <v>124</v>
      </c>
      <c r="N43" t="s">
        <v>125</v>
      </c>
      <c r="O43" t="s">
        <v>17</v>
      </c>
      <c r="Q43" t="s">
        <v>101</v>
      </c>
    </row>
    <row r="44" spans="1:21" x14ac:dyDescent="0.25">
      <c r="A44" t="s">
        <v>95</v>
      </c>
      <c r="B44" s="1" t="s">
        <v>194</v>
      </c>
      <c r="C44" t="s">
        <v>110</v>
      </c>
      <c r="D44" t="s">
        <v>195</v>
      </c>
      <c r="E44" t="s">
        <v>22</v>
      </c>
      <c r="F44">
        <v>0</v>
      </c>
      <c r="G44">
        <v>0</v>
      </c>
      <c r="M44" t="s">
        <v>124</v>
      </c>
      <c r="N44" t="s">
        <v>125</v>
      </c>
      <c r="O44" t="s">
        <v>17</v>
      </c>
      <c r="Q44" t="s">
        <v>101</v>
      </c>
      <c r="R44" t="b">
        <v>1</v>
      </c>
      <c r="S44" t="b">
        <v>1</v>
      </c>
    </row>
    <row r="45" spans="1:21" x14ac:dyDescent="0.25">
      <c r="A45" t="s">
        <v>95</v>
      </c>
      <c r="B45" s="1" t="s">
        <v>196</v>
      </c>
      <c r="C45" t="s">
        <v>97</v>
      </c>
      <c r="D45" t="s">
        <v>197</v>
      </c>
      <c r="E45" t="s">
        <v>22</v>
      </c>
      <c r="F45">
        <v>0</v>
      </c>
      <c r="G45">
        <v>0</v>
      </c>
      <c r="M45" t="s">
        <v>40</v>
      </c>
      <c r="N45" t="s">
        <v>181</v>
      </c>
      <c r="O45" t="s">
        <v>17</v>
      </c>
      <c r="Q45" t="s">
        <v>101</v>
      </c>
    </row>
    <row r="46" spans="1:21" x14ac:dyDescent="0.25">
      <c r="A46" t="s">
        <v>95</v>
      </c>
      <c r="B46" s="1" t="s">
        <v>198</v>
      </c>
      <c r="C46" t="s">
        <v>97</v>
      </c>
      <c r="D46" t="s">
        <v>199</v>
      </c>
      <c r="E46" t="s">
        <v>22</v>
      </c>
      <c r="F46">
        <v>0</v>
      </c>
      <c r="G46">
        <v>0</v>
      </c>
      <c r="M46" t="s">
        <v>200</v>
      </c>
      <c r="N46" t="s">
        <v>201</v>
      </c>
      <c r="O46" t="s">
        <v>17</v>
      </c>
      <c r="Q46" t="s">
        <v>101</v>
      </c>
    </row>
    <row r="47" spans="1:21" x14ac:dyDescent="0.25">
      <c r="A47" t="s">
        <v>95</v>
      </c>
      <c r="B47" s="1" t="s">
        <v>202</v>
      </c>
      <c r="C47" t="s">
        <v>110</v>
      </c>
      <c r="D47" t="s">
        <v>203</v>
      </c>
      <c r="E47" t="s">
        <v>22</v>
      </c>
      <c r="F47">
        <v>0</v>
      </c>
      <c r="G47">
        <v>0</v>
      </c>
      <c r="M47" t="s">
        <v>104</v>
      </c>
      <c r="N47" t="s">
        <v>204</v>
      </c>
      <c r="O47" t="s">
        <v>17</v>
      </c>
      <c r="Q47" t="s">
        <v>101</v>
      </c>
    </row>
    <row r="48" spans="1:21" x14ac:dyDescent="0.25">
      <c r="A48" t="s">
        <v>95</v>
      </c>
      <c r="B48" s="1" t="s">
        <v>205</v>
      </c>
      <c r="C48" t="s">
        <v>110</v>
      </c>
      <c r="D48" t="s">
        <v>206</v>
      </c>
      <c r="E48" t="s">
        <v>22</v>
      </c>
      <c r="F48">
        <v>0</v>
      </c>
      <c r="G48">
        <v>0</v>
      </c>
      <c r="M48" t="s">
        <v>92</v>
      </c>
      <c r="N48" t="s">
        <v>207</v>
      </c>
      <c r="O48" t="s">
        <v>17</v>
      </c>
      <c r="Q48" t="s">
        <v>101</v>
      </c>
    </row>
    <row r="51" spans="1:11" ht="15.75" x14ac:dyDescent="0.25">
      <c r="A51" s="3" t="s">
        <v>47</v>
      </c>
      <c r="H51" s="3" t="s">
        <v>48</v>
      </c>
    </row>
    <row r="52" spans="1:11" x14ac:dyDescent="0.25">
      <c r="A52" s="4" t="s">
        <v>49</v>
      </c>
      <c r="F52">
        <f>COUNTIFS(B2:B48,"&lt;&gt;*_*",B2:B48,"&lt;&gt;")</f>
        <v>22</v>
      </c>
      <c r="H52" s="4" t="s">
        <v>49</v>
      </c>
      <c r="K52">
        <f>COUNTIFS(B2:B48,"&lt;&gt;*_*",B2:B48,"&lt;&gt;",R2:R48,"&lt;&gt;TRUE")</f>
        <v>13</v>
      </c>
    </row>
    <row r="53" spans="1:11" x14ac:dyDescent="0.25">
      <c r="A53" s="4" t="s">
        <v>50</v>
      </c>
      <c r="F53">
        <f>COUNTIFS(F2:F48,"&gt;0")</f>
        <v>20</v>
      </c>
      <c r="H53" s="4" t="s">
        <v>50</v>
      </c>
      <c r="K53">
        <f>COUNTIFS(F2:F48,"&gt;0",R2:R48,"&lt;&gt;TRUE")</f>
        <v>11</v>
      </c>
    </row>
    <row r="54" spans="1:11" x14ac:dyDescent="0.25">
      <c r="A54" s="4" t="s">
        <v>51</v>
      </c>
      <c r="F54">
        <f>COUNTIFS(G2:G48,"&gt;0")</f>
        <v>12</v>
      </c>
      <c r="H54" s="4" t="s">
        <v>51</v>
      </c>
      <c r="K54">
        <f>COUNTIFS(G2:G48,"&gt;0",S2:S48,"&lt;&gt;TRUE")</f>
        <v>9</v>
      </c>
    </row>
    <row r="55" spans="1:11" x14ac:dyDescent="0.25">
      <c r="A55" s="4" t="s">
        <v>52</v>
      </c>
      <c r="F55">
        <f>COUNTIFS(F2:F48,"&lt;&gt;-1",F2:F48,"&lt;&gt;0",F2:F48,"&lt;2")</f>
        <v>0</v>
      </c>
      <c r="H55" s="4" t="s">
        <v>52</v>
      </c>
      <c r="K55">
        <f>COUNTIFS(F2:F48,"&lt;&gt;-1",F2:F48,"&lt;&gt;0",F2:F48,"&lt;2",R2:R48,"&lt;&gt;TRUE")</f>
        <v>0</v>
      </c>
    </row>
    <row r="56" spans="1:11" x14ac:dyDescent="0.25">
      <c r="A56" s="4" t="s">
        <v>53</v>
      </c>
      <c r="F56">
        <f>COUNTIFS(G2:G48,"&lt;&gt;-1",G2:G48,"&lt;&gt;0",G2:G48,"&lt;2")</f>
        <v>0</v>
      </c>
      <c r="H56" s="4" t="s">
        <v>53</v>
      </c>
      <c r="K56">
        <f>COUNTIFS(G2:G48,"&lt;&gt;-1",G2:G48,"&lt;&gt;0",G2:G48,"&lt;2",S2:S48,"&lt;&gt;TRUE")</f>
        <v>0</v>
      </c>
    </row>
    <row r="57" spans="1:11" x14ac:dyDescent="0.25">
      <c r="A57" s="4" t="s">
        <v>54</v>
      </c>
      <c r="F57">
        <f>COUNTIFS(F2:F48,"=-1")+COUNTIFS(F2:F48,"=-3")</f>
        <v>2</v>
      </c>
      <c r="H57" s="4" t="s">
        <v>54</v>
      </c>
      <c r="K57">
        <f>COUNTIFS(F2:F48,"=-1",R2:R48,"&lt;&gt;TRUE")+COUNTIFS(F2:F48,"=-3",R2:R48,"&lt;&gt;TRUE")</f>
        <v>2</v>
      </c>
    </row>
    <row r="58" spans="1:11" x14ac:dyDescent="0.25">
      <c r="A58" s="4" t="s">
        <v>55</v>
      </c>
      <c r="F58">
        <f>COUNTIFS(G2:G48,"=-1")+COUNTIFS(G2:G48,"=-3")</f>
        <v>10</v>
      </c>
      <c r="H58" s="4" t="s">
        <v>55</v>
      </c>
      <c r="K58">
        <f>COUNTIFS(G2:G48,"=-1",S2:S48,"&lt;&gt;TRUE")+COUNTIFS(G2:G48,"=-3",S2:S48,"&lt;&gt;TRUE")</f>
        <v>4</v>
      </c>
    </row>
    <row r="59" spans="1:11" x14ac:dyDescent="0.25">
      <c r="A59" s="4" t="s">
        <v>56</v>
      </c>
      <c r="F59" s="8">
        <f>F53/F52</f>
        <v>0.90909090909090906</v>
      </c>
      <c r="H59" s="4" t="s">
        <v>56</v>
      </c>
      <c r="K59" s="8">
        <f>K53/K52</f>
        <v>0.84615384615384615</v>
      </c>
    </row>
    <row r="60" spans="1:11" x14ac:dyDescent="0.25">
      <c r="A60" s="4" t="s">
        <v>57</v>
      </c>
      <c r="F60" s="8">
        <f>F54/F52</f>
        <v>0.54545454545454541</v>
      </c>
      <c r="H60" s="4" t="s">
        <v>58</v>
      </c>
      <c r="K60" s="8">
        <f>K54/K52</f>
        <v>0.69230769230769229</v>
      </c>
    </row>
    <row r="61" spans="1:11" x14ac:dyDescent="0.25">
      <c r="A61" s="4" t="s">
        <v>59</v>
      </c>
      <c r="F61" s="8">
        <f>F53/(F53+F55)</f>
        <v>1</v>
      </c>
      <c r="H61" s="4" t="s">
        <v>59</v>
      </c>
      <c r="K61" s="8">
        <f>K53/(K53+K55)</f>
        <v>1</v>
      </c>
    </row>
    <row r="62" spans="1:11" x14ac:dyDescent="0.25">
      <c r="A62" s="4" t="s">
        <v>60</v>
      </c>
      <c r="F62" s="8">
        <f>F54/(F54+F56)</f>
        <v>1</v>
      </c>
      <c r="H62" s="4" t="s">
        <v>60</v>
      </c>
      <c r="K62" s="8">
        <f>K54/(K54+K56)</f>
        <v>1</v>
      </c>
    </row>
    <row r="65" spans="1:11" ht="15.75" x14ac:dyDescent="0.25">
      <c r="A65" s="3" t="s">
        <v>61</v>
      </c>
      <c r="H65" s="3" t="s">
        <v>62</v>
      </c>
    </row>
    <row r="66" spans="1:11" x14ac:dyDescent="0.25">
      <c r="A66" s="4" t="s">
        <v>49</v>
      </c>
      <c r="F66">
        <f>COUNTIFS(H2:H48,"&lt;&gt;*_FP",H2:H48,"&lt;&gt;",H2:H48,"&lt;&gt;no structure")</f>
        <v>27</v>
      </c>
      <c r="H66" s="4" t="s">
        <v>49</v>
      </c>
      <c r="K66">
        <f>COUNTIFS(H2:H48,"&lt;&gt;*_FP",H2:H48,"&lt;&gt;",H2:H48,"&lt;&gt;no structure",T2:T48,"&lt;&gt;TRUE")</f>
        <v>17</v>
      </c>
    </row>
    <row r="67" spans="1:11" x14ac:dyDescent="0.25">
      <c r="A67" s="4" t="s">
        <v>50</v>
      </c>
      <c r="F67">
        <f>COUNTIFS(K2:K48,"&gt;0")</f>
        <v>23</v>
      </c>
      <c r="H67" s="4" t="s">
        <v>50</v>
      </c>
      <c r="K67">
        <f>COUNTIFS(K2:K48,"&gt;0",T2:T48,"&lt;&gt;TRUE")</f>
        <v>13</v>
      </c>
    </row>
    <row r="68" spans="1:11" x14ac:dyDescent="0.25">
      <c r="A68" s="4" t="s">
        <v>51</v>
      </c>
      <c r="F68">
        <f>COUNTIFS(L2:L48,"&gt;0")</f>
        <v>14</v>
      </c>
      <c r="H68" s="4" t="s">
        <v>51</v>
      </c>
      <c r="K68">
        <f>COUNTIFS(L2:L48,"&gt;0",U2:U48,"&lt;&gt;TRUE")</f>
        <v>11</v>
      </c>
    </row>
    <row r="69" spans="1:11" x14ac:dyDescent="0.25">
      <c r="A69" s="4" t="s">
        <v>52</v>
      </c>
      <c r="F69">
        <f>COUNTIFS(K2:K48,"&lt;&gt;-1",K2:K48,"&lt;&gt;0",K2:K48,"&lt;2")</f>
        <v>0</v>
      </c>
      <c r="H69" s="4" t="s">
        <v>52</v>
      </c>
      <c r="K69">
        <f>COUNTIFS(K2:K48,"&lt;&gt;-1",K2:K48,"&lt;&gt;0",K2:K48,"&lt;2",T2:T48,"&lt;&gt;TRUE")</f>
        <v>0</v>
      </c>
    </row>
    <row r="70" spans="1:11" x14ac:dyDescent="0.25">
      <c r="A70" s="4" t="s">
        <v>53</v>
      </c>
      <c r="F70">
        <f>COUNTIFS(L2:L48,"&lt;&gt;-1",L2:L48,"&lt;&gt;0",L2:L48,"&lt;2")</f>
        <v>0</v>
      </c>
      <c r="H70" s="4" t="s">
        <v>53</v>
      </c>
      <c r="K70">
        <f>COUNTIFS(L2:L48,"&lt;&gt;-1",L2:L48,"&lt;&gt;0",L2:L48,"&lt;2",U2:U48,"&lt;&gt;TRUE")</f>
        <v>0</v>
      </c>
    </row>
    <row r="71" spans="1:11" x14ac:dyDescent="0.25">
      <c r="A71" s="4" t="s">
        <v>54</v>
      </c>
      <c r="F71">
        <f>COUNTIFS(K2:K48,"=-1")+COUNTIFS(K2:K48,"=-3")</f>
        <v>4</v>
      </c>
      <c r="H71" s="4" t="s">
        <v>54</v>
      </c>
      <c r="K71">
        <f>COUNTIFS(K2:K48,"=-1",T2:T48,"&lt;&gt;TRUE")+COUNTIFS(K2:K48,"=-3",T2:T48,"&lt;&gt;TRUE")</f>
        <v>4</v>
      </c>
    </row>
    <row r="72" spans="1:11" x14ac:dyDescent="0.25">
      <c r="A72" s="4" t="s">
        <v>55</v>
      </c>
      <c r="F72">
        <f>COUNTIFS(L2:L48,"=-1")+COUNTIFS(L2:L48,"=-3")</f>
        <v>13</v>
      </c>
      <c r="H72" s="4" t="s">
        <v>55</v>
      </c>
      <c r="K72">
        <f>COUNTIFS(L2:L48,"=-1",U2:U48,"&lt;&gt;TRUE")+COUNTIFS(L2:L48,"=-3",U2:U48,"&lt;&gt;TRUE")</f>
        <v>6</v>
      </c>
    </row>
    <row r="73" spans="1:11" x14ac:dyDescent="0.25">
      <c r="A73" s="4" t="s">
        <v>56</v>
      </c>
      <c r="F73" s="8">
        <f>F67/F66</f>
        <v>0.85185185185185186</v>
      </c>
      <c r="H73" s="4" t="s">
        <v>56</v>
      </c>
      <c r="K73" s="8">
        <f>K67/K66</f>
        <v>0.76470588235294112</v>
      </c>
    </row>
    <row r="74" spans="1:11" x14ac:dyDescent="0.25">
      <c r="A74" s="4" t="s">
        <v>57</v>
      </c>
      <c r="F74" s="8">
        <f>F68/F66</f>
        <v>0.51851851851851849</v>
      </c>
      <c r="H74" s="4" t="s">
        <v>58</v>
      </c>
      <c r="K74" s="8">
        <f>K68/K66</f>
        <v>0.6470588235294118</v>
      </c>
    </row>
    <row r="75" spans="1:11" x14ac:dyDescent="0.25">
      <c r="A75" s="4" t="s">
        <v>59</v>
      </c>
      <c r="F75" s="8">
        <f>F67/(F67+F69)</f>
        <v>1</v>
      </c>
      <c r="H75" s="4" t="s">
        <v>59</v>
      </c>
      <c r="K75" s="8">
        <f>K67/(K67+K69)</f>
        <v>1</v>
      </c>
    </row>
    <row r="76" spans="1:11" x14ac:dyDescent="0.25">
      <c r="A76" s="4" t="s">
        <v>60</v>
      </c>
      <c r="F76" s="8">
        <f>F68/(F68+F70)</f>
        <v>1</v>
      </c>
      <c r="H76" s="4" t="s">
        <v>60</v>
      </c>
      <c r="K76" s="8">
        <f>K68/(K68+K70)</f>
        <v>1</v>
      </c>
    </row>
    <row r="79" spans="1:11" ht="15.75" x14ac:dyDescent="0.25">
      <c r="A79" s="3" t="s">
        <v>63</v>
      </c>
    </row>
    <row r="80" spans="1:11" x14ac:dyDescent="0.25">
      <c r="A80" s="1" t="s">
        <v>64</v>
      </c>
    </row>
    <row r="81" spans="1:1" x14ac:dyDescent="0.25">
      <c r="A81" s="5" t="s">
        <v>65</v>
      </c>
    </row>
    <row r="83" spans="1:1" x14ac:dyDescent="0.25">
      <c r="A83" s="1" t="s">
        <v>66</v>
      </c>
    </row>
    <row r="84" spans="1:1" x14ac:dyDescent="0.25">
      <c r="A84" s="6" t="s">
        <v>67</v>
      </c>
    </row>
    <row r="85" spans="1:1" x14ac:dyDescent="0.25">
      <c r="A85" s="7" t="s">
        <v>68</v>
      </c>
    </row>
    <row r="86" spans="1:1" x14ac:dyDescent="0.25">
      <c r="A86" s="5" t="s">
        <v>69</v>
      </c>
    </row>
    <row r="88" spans="1:1" x14ac:dyDescent="0.25">
      <c r="A88" s="4" t="s">
        <v>70</v>
      </c>
    </row>
    <row r="89" spans="1:1" x14ac:dyDescent="0.25">
      <c r="A89" t="s">
        <v>71</v>
      </c>
    </row>
    <row r="90" spans="1:1" x14ac:dyDescent="0.25">
      <c r="A90" t="s">
        <v>72</v>
      </c>
    </row>
    <row r="91" spans="1:1" x14ac:dyDescent="0.25">
      <c r="A91" t="s">
        <v>73</v>
      </c>
    </row>
    <row r="92" spans="1:1" x14ac:dyDescent="0.25">
      <c r="A92" t="s">
        <v>74</v>
      </c>
    </row>
    <row r="93" spans="1:1" x14ac:dyDescent="0.25">
      <c r="A93" t="s">
        <v>75</v>
      </c>
    </row>
    <row r="94" spans="1:1" x14ac:dyDescent="0.25">
      <c r="A94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topLeftCell="A25"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208</v>
      </c>
      <c r="B2" s="1" t="s">
        <v>209</v>
      </c>
      <c r="C2" t="s">
        <v>20</v>
      </c>
      <c r="D2" s="1" t="s">
        <v>209</v>
      </c>
      <c r="E2" s="5" t="s">
        <v>22</v>
      </c>
      <c r="F2" s="1">
        <v>2</v>
      </c>
      <c r="G2" s="5">
        <v>-1</v>
      </c>
      <c r="H2" s="1" t="s">
        <v>210</v>
      </c>
      <c r="I2" s="1" t="s">
        <v>210</v>
      </c>
      <c r="J2" s="5" t="s">
        <v>22</v>
      </c>
      <c r="K2" s="1">
        <v>2</v>
      </c>
      <c r="L2" s="5">
        <v>-1</v>
      </c>
      <c r="M2" t="s">
        <v>211</v>
      </c>
      <c r="N2" t="s">
        <v>212</v>
      </c>
      <c r="O2" t="s">
        <v>17</v>
      </c>
    </row>
    <row r="3" spans="1:21" x14ac:dyDescent="0.25">
      <c r="A3" t="s">
        <v>208</v>
      </c>
      <c r="B3" s="1" t="s">
        <v>213</v>
      </c>
      <c r="C3" t="s">
        <v>20</v>
      </c>
      <c r="D3" t="s">
        <v>214</v>
      </c>
      <c r="E3" t="s">
        <v>22</v>
      </c>
      <c r="F3">
        <v>0</v>
      </c>
      <c r="G3">
        <v>0</v>
      </c>
      <c r="M3" t="s">
        <v>156</v>
      </c>
      <c r="N3" t="s">
        <v>189</v>
      </c>
      <c r="O3" t="s">
        <v>17</v>
      </c>
      <c r="Q3" t="s">
        <v>101</v>
      </c>
    </row>
    <row r="4" spans="1:21" x14ac:dyDescent="0.25">
      <c r="A4" t="s">
        <v>208</v>
      </c>
      <c r="B4" s="1" t="s">
        <v>102</v>
      </c>
      <c r="C4" t="s">
        <v>20</v>
      </c>
      <c r="D4" s="1" t="s">
        <v>102</v>
      </c>
      <c r="E4" s="5" t="s">
        <v>22</v>
      </c>
      <c r="F4" s="1">
        <v>2</v>
      </c>
      <c r="G4" s="5">
        <v>-1</v>
      </c>
      <c r="H4" s="1" t="s">
        <v>103</v>
      </c>
      <c r="I4" s="1" t="s">
        <v>215</v>
      </c>
      <c r="J4" s="5" t="s">
        <v>22</v>
      </c>
      <c r="K4" s="1">
        <v>2</v>
      </c>
      <c r="L4" s="5">
        <v>-1</v>
      </c>
      <c r="M4" t="s">
        <v>216</v>
      </c>
      <c r="N4" t="s">
        <v>191</v>
      </c>
      <c r="O4" t="s">
        <v>17</v>
      </c>
    </row>
    <row r="5" spans="1:21" x14ac:dyDescent="0.25">
      <c r="A5" t="s">
        <v>208</v>
      </c>
      <c r="B5" s="1" t="s">
        <v>25</v>
      </c>
      <c r="C5" t="s">
        <v>20</v>
      </c>
      <c r="D5" s="1" t="s">
        <v>25</v>
      </c>
      <c r="E5" s="5" t="s">
        <v>22</v>
      </c>
      <c r="F5" s="1">
        <v>2</v>
      </c>
      <c r="G5" s="5">
        <v>-1</v>
      </c>
      <c r="H5" s="1" t="s">
        <v>106</v>
      </c>
      <c r="I5" s="1" t="s">
        <v>106</v>
      </c>
      <c r="J5" s="5" t="s">
        <v>22</v>
      </c>
      <c r="K5" s="1">
        <v>2</v>
      </c>
      <c r="L5" s="5">
        <v>-1</v>
      </c>
      <c r="M5" t="s">
        <v>217</v>
      </c>
      <c r="N5" t="s">
        <v>142</v>
      </c>
      <c r="O5" t="s">
        <v>17</v>
      </c>
    </row>
    <row r="6" spans="1:21" x14ac:dyDescent="0.25">
      <c r="A6" t="s">
        <v>208</v>
      </c>
      <c r="B6" s="1" t="s">
        <v>118</v>
      </c>
      <c r="C6" t="s">
        <v>20</v>
      </c>
      <c r="D6" t="s">
        <v>119</v>
      </c>
      <c r="E6" t="s">
        <v>22</v>
      </c>
      <c r="F6">
        <v>0</v>
      </c>
      <c r="G6">
        <v>0</v>
      </c>
      <c r="M6" t="s">
        <v>79</v>
      </c>
      <c r="N6" t="s">
        <v>218</v>
      </c>
      <c r="O6" t="s">
        <v>17</v>
      </c>
      <c r="Q6" t="s">
        <v>101</v>
      </c>
    </row>
    <row r="7" spans="1:21" x14ac:dyDescent="0.25">
      <c r="A7" t="s">
        <v>208</v>
      </c>
      <c r="B7" s="1" t="s">
        <v>126</v>
      </c>
      <c r="C7" t="s">
        <v>20</v>
      </c>
      <c r="D7" s="5" t="s">
        <v>126</v>
      </c>
      <c r="E7" s="5" t="s">
        <v>22</v>
      </c>
      <c r="F7" s="5">
        <v>-3</v>
      </c>
      <c r="G7" s="5">
        <v>-1</v>
      </c>
      <c r="H7" s="5" t="s">
        <v>219</v>
      </c>
      <c r="I7" s="5" t="s">
        <v>220</v>
      </c>
      <c r="J7" t="s">
        <v>17</v>
      </c>
      <c r="K7" s="5">
        <v>-2</v>
      </c>
      <c r="L7">
        <v>0</v>
      </c>
      <c r="M7" t="s">
        <v>17</v>
      </c>
      <c r="N7" t="s">
        <v>105</v>
      </c>
      <c r="O7" t="s">
        <v>17</v>
      </c>
      <c r="Q7" t="s">
        <v>273</v>
      </c>
    </row>
    <row r="8" spans="1:21" x14ac:dyDescent="0.25">
      <c r="H8" s="1" t="s">
        <v>127</v>
      </c>
      <c r="I8" s="5" t="s">
        <v>127</v>
      </c>
      <c r="J8" s="5" t="s">
        <v>22</v>
      </c>
      <c r="K8" s="5">
        <v>-3</v>
      </c>
      <c r="L8" s="5">
        <v>-1</v>
      </c>
      <c r="M8" t="s">
        <v>17</v>
      </c>
      <c r="N8" t="s">
        <v>105</v>
      </c>
      <c r="O8" t="s">
        <v>17</v>
      </c>
      <c r="Q8" t="s">
        <v>273</v>
      </c>
    </row>
    <row r="9" spans="1:21" x14ac:dyDescent="0.25">
      <c r="A9" t="s">
        <v>208</v>
      </c>
      <c r="B9" s="1" t="s">
        <v>130</v>
      </c>
      <c r="C9" t="s">
        <v>20</v>
      </c>
      <c r="D9" s="1" t="s">
        <v>130</v>
      </c>
      <c r="E9" s="5" t="s">
        <v>22</v>
      </c>
      <c r="F9" s="1">
        <v>2</v>
      </c>
      <c r="G9" s="5">
        <v>-1</v>
      </c>
      <c r="H9" s="1" t="s">
        <v>131</v>
      </c>
      <c r="I9" s="1" t="s">
        <v>221</v>
      </c>
      <c r="J9" s="5" t="s">
        <v>22</v>
      </c>
      <c r="K9" s="1">
        <v>2</v>
      </c>
      <c r="L9" s="5">
        <v>-1</v>
      </c>
      <c r="M9" t="s">
        <v>222</v>
      </c>
      <c r="N9" t="s">
        <v>105</v>
      </c>
      <c r="O9" t="s">
        <v>17</v>
      </c>
    </row>
    <row r="10" spans="1:21" x14ac:dyDescent="0.25">
      <c r="A10" t="s">
        <v>208</v>
      </c>
      <c r="B10" s="1" t="s">
        <v>135</v>
      </c>
      <c r="C10" t="s">
        <v>20</v>
      </c>
      <c r="D10" s="1" t="s">
        <v>135</v>
      </c>
      <c r="E10" s="5" t="s">
        <v>22</v>
      </c>
      <c r="F10" s="1">
        <v>2</v>
      </c>
      <c r="G10" s="5">
        <v>-1</v>
      </c>
      <c r="H10" s="1" t="s">
        <v>140</v>
      </c>
      <c r="I10" s="1" t="s">
        <v>223</v>
      </c>
      <c r="J10" s="5" t="s">
        <v>22</v>
      </c>
      <c r="K10" s="1">
        <v>2</v>
      </c>
      <c r="L10" s="5">
        <v>-1</v>
      </c>
      <c r="M10" t="s">
        <v>79</v>
      </c>
      <c r="N10" t="s">
        <v>224</v>
      </c>
      <c r="O10" t="s">
        <v>17</v>
      </c>
    </row>
    <row r="11" spans="1:21" x14ac:dyDescent="0.25">
      <c r="A11" t="s">
        <v>208</v>
      </c>
      <c r="B11" s="1" t="s">
        <v>28</v>
      </c>
      <c r="C11" t="s">
        <v>20</v>
      </c>
      <c r="D11" s="1" t="s">
        <v>28</v>
      </c>
      <c r="E11" s="1" t="s">
        <v>28</v>
      </c>
      <c r="F11" s="1">
        <v>2</v>
      </c>
      <c r="G11" s="1">
        <v>2</v>
      </c>
      <c r="H11" s="1" t="s">
        <v>29</v>
      </c>
      <c r="I11" s="1" t="s">
        <v>29</v>
      </c>
      <c r="J11" s="1" t="s">
        <v>29</v>
      </c>
      <c r="K11" s="1">
        <v>2</v>
      </c>
      <c r="L11" s="1">
        <v>2</v>
      </c>
      <c r="M11" t="s">
        <v>124</v>
      </c>
      <c r="N11" t="s">
        <v>225</v>
      </c>
      <c r="O11" t="s">
        <v>226</v>
      </c>
      <c r="P11">
        <v>16.3</v>
      </c>
    </row>
    <row r="12" spans="1:21" x14ac:dyDescent="0.25">
      <c r="H12" s="1" t="s">
        <v>227</v>
      </c>
      <c r="I12" s="1" t="s">
        <v>227</v>
      </c>
      <c r="J12" s="5" t="s">
        <v>22</v>
      </c>
      <c r="K12" s="1">
        <v>2</v>
      </c>
      <c r="L12" s="5">
        <v>-1</v>
      </c>
      <c r="M12" t="s">
        <v>124</v>
      </c>
      <c r="N12" t="s">
        <v>225</v>
      </c>
      <c r="O12" t="s">
        <v>17</v>
      </c>
    </row>
    <row r="13" spans="1:21" x14ac:dyDescent="0.25">
      <c r="A13" t="s">
        <v>208</v>
      </c>
      <c r="B13" s="1" t="s">
        <v>228</v>
      </c>
      <c r="C13" t="s">
        <v>20</v>
      </c>
      <c r="D13" s="1" t="s">
        <v>228</v>
      </c>
      <c r="E13" s="5" t="s">
        <v>22</v>
      </c>
      <c r="F13" s="1">
        <v>2</v>
      </c>
      <c r="G13" s="5">
        <v>-1</v>
      </c>
      <c r="H13" s="1" t="s">
        <v>229</v>
      </c>
      <c r="I13" s="1" t="s">
        <v>230</v>
      </c>
      <c r="J13" s="5" t="s">
        <v>22</v>
      </c>
      <c r="K13" s="1">
        <v>2</v>
      </c>
      <c r="L13" s="5">
        <v>-1</v>
      </c>
      <c r="M13" t="s">
        <v>231</v>
      </c>
      <c r="N13" t="s">
        <v>232</v>
      </c>
      <c r="O13" t="s">
        <v>17</v>
      </c>
    </row>
    <row r="14" spans="1:21" x14ac:dyDescent="0.25">
      <c r="B14" s="1"/>
      <c r="D14" s="1"/>
      <c r="E14" s="5"/>
      <c r="F14" s="1"/>
      <c r="G14" s="5"/>
      <c r="H14" s="11" t="s">
        <v>274</v>
      </c>
      <c r="I14" s="10" t="s">
        <v>22</v>
      </c>
      <c r="J14" s="10" t="s">
        <v>22</v>
      </c>
      <c r="K14" s="10">
        <v>-1</v>
      </c>
      <c r="L14" s="10">
        <v>-1</v>
      </c>
      <c r="M14" t="s">
        <v>231</v>
      </c>
      <c r="N14" t="s">
        <v>17</v>
      </c>
      <c r="Q14" t="s">
        <v>275</v>
      </c>
    </row>
    <row r="15" spans="1:21" x14ac:dyDescent="0.25">
      <c r="A15" t="s">
        <v>208</v>
      </c>
      <c r="B15" s="1" t="s">
        <v>149</v>
      </c>
      <c r="C15" t="s">
        <v>20</v>
      </c>
      <c r="D15" t="s">
        <v>32</v>
      </c>
      <c r="E15" t="s">
        <v>22</v>
      </c>
      <c r="F15">
        <v>0</v>
      </c>
      <c r="G15">
        <v>0</v>
      </c>
      <c r="M15" t="s">
        <v>138</v>
      </c>
      <c r="N15" t="s">
        <v>233</v>
      </c>
      <c r="O15" t="s">
        <v>17</v>
      </c>
      <c r="Q15" t="s">
        <v>101</v>
      </c>
    </row>
    <row r="16" spans="1:21" x14ac:dyDescent="0.25">
      <c r="A16" t="s">
        <v>208</v>
      </c>
      <c r="B16" s="11" t="s">
        <v>36</v>
      </c>
      <c r="C16" t="s">
        <v>20</v>
      </c>
      <c r="D16" s="10" t="s">
        <v>22</v>
      </c>
      <c r="E16" s="10" t="s">
        <v>22</v>
      </c>
      <c r="F16" s="10">
        <v>-1</v>
      </c>
      <c r="G16" s="10">
        <v>-1</v>
      </c>
      <c r="H16" s="11" t="s">
        <v>155</v>
      </c>
      <c r="I16" s="10" t="s">
        <v>22</v>
      </c>
      <c r="J16" s="10" t="s">
        <v>22</v>
      </c>
      <c r="K16" s="10">
        <v>-1</v>
      </c>
      <c r="L16" s="10">
        <v>-1</v>
      </c>
      <c r="M16" t="s">
        <v>132</v>
      </c>
      <c r="N16" t="s">
        <v>17</v>
      </c>
      <c r="Q16" t="s">
        <v>276</v>
      </c>
    </row>
    <row r="17" spans="1:17" x14ac:dyDescent="0.25">
      <c r="A17" t="s">
        <v>208</v>
      </c>
      <c r="B17" s="1" t="s">
        <v>38</v>
      </c>
      <c r="C17" t="s">
        <v>20</v>
      </c>
      <c r="D17" s="1" t="s">
        <v>38</v>
      </c>
      <c r="E17" s="5" t="s">
        <v>22</v>
      </c>
      <c r="F17" s="1">
        <v>2</v>
      </c>
      <c r="G17" s="5">
        <v>-1</v>
      </c>
      <c r="H17" s="1" t="s">
        <v>39</v>
      </c>
      <c r="I17" s="1" t="s">
        <v>39</v>
      </c>
      <c r="J17" s="5" t="s">
        <v>22</v>
      </c>
      <c r="K17" s="1">
        <v>2</v>
      </c>
      <c r="L17" s="5">
        <v>-1</v>
      </c>
      <c r="M17" t="s">
        <v>104</v>
      </c>
      <c r="N17" t="s">
        <v>234</v>
      </c>
      <c r="O17" t="s">
        <v>17</v>
      </c>
    </row>
    <row r="18" spans="1:17" x14ac:dyDescent="0.25">
      <c r="A18" t="s">
        <v>208</v>
      </c>
      <c r="B18" s="1" t="s">
        <v>43</v>
      </c>
      <c r="C18" t="s">
        <v>20</v>
      </c>
      <c r="D18" s="1" t="s">
        <v>43</v>
      </c>
      <c r="E18" s="1" t="s">
        <v>43</v>
      </c>
      <c r="F18" s="1">
        <v>2</v>
      </c>
      <c r="G18" s="1">
        <v>2</v>
      </c>
      <c r="H18" s="1" t="s">
        <v>44</v>
      </c>
      <c r="I18" s="1" t="s">
        <v>44</v>
      </c>
      <c r="J18" s="1" t="s">
        <v>44</v>
      </c>
      <c r="K18" s="1">
        <v>2</v>
      </c>
      <c r="L18" s="1">
        <v>2</v>
      </c>
      <c r="M18" t="s">
        <v>163</v>
      </c>
      <c r="N18" t="s">
        <v>108</v>
      </c>
      <c r="O18" t="s">
        <v>235</v>
      </c>
      <c r="P18">
        <v>1.9</v>
      </c>
    </row>
    <row r="19" spans="1:17" x14ac:dyDescent="0.25">
      <c r="A19" t="s">
        <v>208</v>
      </c>
      <c r="B19" s="1" t="s">
        <v>166</v>
      </c>
      <c r="C19" t="s">
        <v>20</v>
      </c>
      <c r="D19" s="1" t="s">
        <v>166</v>
      </c>
      <c r="E19" s="1" t="s">
        <v>166</v>
      </c>
      <c r="F19" s="1">
        <v>2</v>
      </c>
      <c r="G19" s="1">
        <v>2</v>
      </c>
      <c r="H19" s="1" t="s">
        <v>167</v>
      </c>
      <c r="I19" s="1" t="s">
        <v>167</v>
      </c>
      <c r="J19" s="1" t="s">
        <v>168</v>
      </c>
      <c r="K19" s="1">
        <v>2</v>
      </c>
      <c r="L19" s="1">
        <v>2</v>
      </c>
      <c r="M19" t="s">
        <v>86</v>
      </c>
      <c r="N19" t="s">
        <v>236</v>
      </c>
      <c r="O19" t="s">
        <v>237</v>
      </c>
      <c r="P19">
        <v>45.4</v>
      </c>
    </row>
    <row r="20" spans="1:17" x14ac:dyDescent="0.25">
      <c r="H20" s="1" t="s">
        <v>172</v>
      </c>
      <c r="I20" s="1" t="s">
        <v>172</v>
      </c>
      <c r="J20" s="5" t="s">
        <v>22</v>
      </c>
      <c r="K20" s="1">
        <v>2</v>
      </c>
      <c r="L20" s="5">
        <v>-1</v>
      </c>
      <c r="M20" t="s">
        <v>86</v>
      </c>
      <c r="N20" t="s">
        <v>236</v>
      </c>
      <c r="O20" t="s">
        <v>17</v>
      </c>
    </row>
    <row r="21" spans="1:17" x14ac:dyDescent="0.25">
      <c r="A21" t="s">
        <v>208</v>
      </c>
      <c r="B21" s="1" t="s">
        <v>238</v>
      </c>
      <c r="C21" t="s">
        <v>20</v>
      </c>
      <c r="D21" s="1" t="s">
        <v>238</v>
      </c>
      <c r="E21" s="5" t="s">
        <v>22</v>
      </c>
      <c r="F21" s="1">
        <v>2</v>
      </c>
      <c r="G21" s="5">
        <v>-1</v>
      </c>
      <c r="H21" s="1" t="s">
        <v>239</v>
      </c>
      <c r="I21" s="1" t="s">
        <v>240</v>
      </c>
      <c r="J21" s="5" t="s">
        <v>22</v>
      </c>
      <c r="K21" s="1">
        <v>2</v>
      </c>
      <c r="L21" s="5">
        <v>-1</v>
      </c>
      <c r="M21" t="s">
        <v>241</v>
      </c>
      <c r="N21" t="s">
        <v>242</v>
      </c>
      <c r="O21" t="s">
        <v>17</v>
      </c>
    </row>
    <row r="22" spans="1:17" x14ac:dyDescent="0.25">
      <c r="H22" s="1" t="s">
        <v>243</v>
      </c>
      <c r="I22" s="1" t="s">
        <v>243</v>
      </c>
      <c r="J22" s="5" t="s">
        <v>22</v>
      </c>
      <c r="K22" s="1">
        <v>2</v>
      </c>
      <c r="L22" s="5">
        <v>-1</v>
      </c>
      <c r="M22" t="s">
        <v>241</v>
      </c>
      <c r="N22" t="s">
        <v>242</v>
      </c>
      <c r="O22" t="s">
        <v>17</v>
      </c>
    </row>
    <row r="23" spans="1:17" x14ac:dyDescent="0.25">
      <c r="A23" t="s">
        <v>208</v>
      </c>
      <c r="B23" s="5" t="s">
        <v>244</v>
      </c>
      <c r="C23" t="s">
        <v>20</v>
      </c>
      <c r="D23" s="5" t="s">
        <v>245</v>
      </c>
      <c r="E23" t="s">
        <v>22</v>
      </c>
      <c r="F23" s="5">
        <v>-2</v>
      </c>
      <c r="G23">
        <v>0</v>
      </c>
      <c r="H23" s="5" t="s">
        <v>246</v>
      </c>
      <c r="I23" s="5" t="s">
        <v>247</v>
      </c>
      <c r="J23" t="s">
        <v>17</v>
      </c>
      <c r="K23" s="5">
        <v>-2</v>
      </c>
      <c r="L23">
        <v>0</v>
      </c>
      <c r="M23" t="s">
        <v>17</v>
      </c>
      <c r="N23" t="s">
        <v>248</v>
      </c>
      <c r="O23" t="s">
        <v>17</v>
      </c>
      <c r="Q23" t="s">
        <v>277</v>
      </c>
    </row>
    <row r="24" spans="1:17" x14ac:dyDescent="0.25">
      <c r="A24" t="s">
        <v>208</v>
      </c>
      <c r="B24" s="1" t="s">
        <v>175</v>
      </c>
      <c r="C24" t="s">
        <v>20</v>
      </c>
      <c r="D24" t="s">
        <v>176</v>
      </c>
      <c r="E24" t="s">
        <v>22</v>
      </c>
      <c r="F24">
        <v>0</v>
      </c>
      <c r="G24">
        <v>0</v>
      </c>
      <c r="M24" t="s">
        <v>163</v>
      </c>
      <c r="N24" t="s">
        <v>249</v>
      </c>
      <c r="O24" t="s">
        <v>17</v>
      </c>
      <c r="Q24" t="s">
        <v>101</v>
      </c>
    </row>
    <row r="25" spans="1:17" x14ac:dyDescent="0.25">
      <c r="A25" t="s">
        <v>208</v>
      </c>
      <c r="B25" s="1" t="s">
        <v>178</v>
      </c>
      <c r="C25" t="s">
        <v>20</v>
      </c>
      <c r="D25" t="s">
        <v>179</v>
      </c>
      <c r="E25" t="s">
        <v>22</v>
      </c>
      <c r="F25">
        <v>0</v>
      </c>
      <c r="G25">
        <v>0</v>
      </c>
      <c r="M25" t="s">
        <v>113</v>
      </c>
      <c r="N25" t="s">
        <v>100</v>
      </c>
      <c r="O25" t="s">
        <v>17</v>
      </c>
      <c r="Q25" t="s">
        <v>101</v>
      </c>
    </row>
    <row r="26" spans="1:17" x14ac:dyDescent="0.25">
      <c r="A26" t="s">
        <v>208</v>
      </c>
      <c r="B26" s="1" t="s">
        <v>89</v>
      </c>
      <c r="C26" t="s">
        <v>20</v>
      </c>
      <c r="D26" s="1" t="s">
        <v>89</v>
      </c>
      <c r="E26" s="1" t="s">
        <v>89</v>
      </c>
      <c r="F26" s="1">
        <v>2</v>
      </c>
      <c r="G26" s="1">
        <v>2</v>
      </c>
      <c r="H26" s="1" t="s">
        <v>250</v>
      </c>
      <c r="I26" s="1" t="s">
        <v>90</v>
      </c>
      <c r="J26" s="1" t="s">
        <v>91</v>
      </c>
      <c r="K26" s="1">
        <v>2</v>
      </c>
      <c r="L26" s="1">
        <v>2</v>
      </c>
      <c r="M26" t="s">
        <v>251</v>
      </c>
      <c r="N26" t="s">
        <v>252</v>
      </c>
      <c r="O26" t="s">
        <v>253</v>
      </c>
      <c r="P26">
        <v>46.6</v>
      </c>
    </row>
    <row r="27" spans="1:17" x14ac:dyDescent="0.25">
      <c r="A27" t="s">
        <v>208</v>
      </c>
      <c r="B27" s="1" t="s">
        <v>195</v>
      </c>
      <c r="C27" t="s">
        <v>20</v>
      </c>
      <c r="D27" s="1" t="s">
        <v>195</v>
      </c>
      <c r="E27" s="5" t="s">
        <v>22</v>
      </c>
      <c r="F27" s="1">
        <v>2</v>
      </c>
      <c r="G27" s="5">
        <v>-1</v>
      </c>
      <c r="H27" s="1" t="s">
        <v>254</v>
      </c>
      <c r="I27" s="1" t="s">
        <v>254</v>
      </c>
      <c r="J27" s="5" t="s">
        <v>22</v>
      </c>
      <c r="K27" s="1">
        <v>2</v>
      </c>
      <c r="L27" s="5">
        <v>-1</v>
      </c>
      <c r="M27" t="s">
        <v>124</v>
      </c>
      <c r="N27" t="s">
        <v>248</v>
      </c>
      <c r="O27" t="s">
        <v>17</v>
      </c>
    </row>
    <row r="28" spans="1:17" x14ac:dyDescent="0.25">
      <c r="A28" t="s">
        <v>208</v>
      </c>
      <c r="B28" s="1" t="s">
        <v>197</v>
      </c>
      <c r="C28" t="s">
        <v>20</v>
      </c>
      <c r="D28" s="1" t="s">
        <v>197</v>
      </c>
      <c r="E28" s="5" t="s">
        <v>22</v>
      </c>
      <c r="F28" s="1">
        <v>2</v>
      </c>
      <c r="G28" s="5">
        <v>-1</v>
      </c>
      <c r="H28" s="1" t="s">
        <v>255</v>
      </c>
      <c r="I28" s="1" t="s">
        <v>255</v>
      </c>
      <c r="J28" s="5" t="s">
        <v>22</v>
      </c>
      <c r="K28" s="1">
        <v>2</v>
      </c>
      <c r="L28" s="5">
        <v>-1</v>
      </c>
      <c r="M28" t="s">
        <v>99</v>
      </c>
      <c r="N28" t="s">
        <v>232</v>
      </c>
      <c r="O28" t="s">
        <v>17</v>
      </c>
    </row>
    <row r="31" spans="1:17" ht="15.75" x14ac:dyDescent="0.25">
      <c r="A31" s="3" t="s">
        <v>47</v>
      </c>
      <c r="H31" s="3" t="s">
        <v>48</v>
      </c>
    </row>
    <row r="32" spans="1:17" x14ac:dyDescent="0.25">
      <c r="A32" s="4" t="s">
        <v>49</v>
      </c>
      <c r="F32">
        <f>COUNTIFS(B2:B28,"&lt;&gt;*_*",B2:B28,"&lt;&gt;")</f>
        <v>16</v>
      </c>
      <c r="H32" s="4" t="s">
        <v>49</v>
      </c>
      <c r="K32">
        <f>COUNTIFS(B2:B28,"&lt;&gt;*_*",B2:B28,"&lt;&gt;",R2:R28,"&lt;&gt;TRUE")</f>
        <v>16</v>
      </c>
    </row>
    <row r="33" spans="1:11" x14ac:dyDescent="0.25">
      <c r="A33" s="4" t="s">
        <v>50</v>
      </c>
      <c r="F33">
        <f>COUNTIFS(F2:F28,"&gt;0")</f>
        <v>14</v>
      </c>
      <c r="H33" s="4" t="s">
        <v>50</v>
      </c>
      <c r="K33">
        <f>COUNTIFS(F2:F28,"&gt;0",R2:R28,"&lt;&gt;TRUE")</f>
        <v>14</v>
      </c>
    </row>
    <row r="34" spans="1:11" x14ac:dyDescent="0.25">
      <c r="A34" s="4" t="s">
        <v>51</v>
      </c>
      <c r="F34">
        <f>COUNTIFS(G2:G28,"&gt;0")</f>
        <v>4</v>
      </c>
      <c r="H34" s="4" t="s">
        <v>51</v>
      </c>
      <c r="K34">
        <f>COUNTIFS(G2:G28,"&gt;0",S2:S28,"&lt;&gt;TRUE")</f>
        <v>4</v>
      </c>
    </row>
    <row r="35" spans="1:11" x14ac:dyDescent="0.25">
      <c r="A35" s="4" t="s">
        <v>52</v>
      </c>
      <c r="F35">
        <f>COUNTIFS(F2:F28,"&lt;&gt;-1",F2:F28,"&lt;&gt;0",F2:F28,"&lt;2")</f>
        <v>2</v>
      </c>
      <c r="H35" s="4" t="s">
        <v>52</v>
      </c>
      <c r="K35">
        <f>COUNTIFS(F2:F28,"&lt;&gt;-1",F2:F28,"&lt;&gt;0",F2:F28,"&lt;2",R2:R28,"&lt;&gt;TRUE")</f>
        <v>2</v>
      </c>
    </row>
    <row r="36" spans="1:11" x14ac:dyDescent="0.25">
      <c r="A36" s="4" t="s">
        <v>53</v>
      </c>
      <c r="F36">
        <f>COUNTIFS(G2:G28,"&lt;&gt;-1",G2:G28,"&lt;&gt;0",G2:G28,"&lt;2")</f>
        <v>0</v>
      </c>
      <c r="H36" s="4" t="s">
        <v>53</v>
      </c>
      <c r="K36">
        <f>COUNTIFS(G2:G28,"&lt;&gt;-1",G2:G28,"&lt;&gt;0",G2:G28,"&lt;2",S2:S28,"&lt;&gt;TRUE")</f>
        <v>0</v>
      </c>
    </row>
    <row r="37" spans="1:11" x14ac:dyDescent="0.25">
      <c r="A37" s="4" t="s">
        <v>54</v>
      </c>
      <c r="F37">
        <f>COUNTIFS(F2:F28,"=-1")+COUNTIFS(F2:F28,"=-3")</f>
        <v>2</v>
      </c>
      <c r="H37" s="4" t="s">
        <v>54</v>
      </c>
      <c r="K37">
        <f>COUNTIFS(F2:F28,"=-1",R2:R28,"&lt;&gt;TRUE")+COUNTIFS(F2:F28,"=-3",R2:R28,"&lt;&gt;TRUE")</f>
        <v>2</v>
      </c>
    </row>
    <row r="38" spans="1:11" x14ac:dyDescent="0.25">
      <c r="A38" s="4" t="s">
        <v>55</v>
      </c>
      <c r="F38">
        <f>COUNTIFS(G2:G28,"=-1")+COUNTIFS(G2:G28,"=-3")</f>
        <v>12</v>
      </c>
      <c r="H38" s="4" t="s">
        <v>55</v>
      </c>
      <c r="K38">
        <f>COUNTIFS(G2:G28,"=-1",S2:S28,"&lt;&gt;TRUE")+COUNTIFS(G2:G28,"=-3",S2:S28,"&lt;&gt;TRUE")</f>
        <v>12</v>
      </c>
    </row>
    <row r="39" spans="1:11" x14ac:dyDescent="0.25">
      <c r="A39" s="4" t="s">
        <v>56</v>
      </c>
      <c r="F39" s="8">
        <f>F33/F32</f>
        <v>0.875</v>
      </c>
      <c r="H39" s="4" t="s">
        <v>56</v>
      </c>
      <c r="K39" s="8">
        <f>K33/K32</f>
        <v>0.875</v>
      </c>
    </row>
    <row r="40" spans="1:11" x14ac:dyDescent="0.25">
      <c r="A40" s="4" t="s">
        <v>57</v>
      </c>
      <c r="F40" s="8">
        <f>F34/F32</f>
        <v>0.25</v>
      </c>
      <c r="H40" s="4" t="s">
        <v>58</v>
      </c>
      <c r="K40" s="8">
        <f>K34/K32</f>
        <v>0.25</v>
      </c>
    </row>
    <row r="41" spans="1:11" x14ac:dyDescent="0.25">
      <c r="A41" s="4" t="s">
        <v>59</v>
      </c>
      <c r="F41" s="8">
        <f>F33/(F33+F35)</f>
        <v>0.875</v>
      </c>
      <c r="H41" s="4" t="s">
        <v>59</v>
      </c>
      <c r="K41" s="8">
        <f>K33/(K33+K35)</f>
        <v>0.875</v>
      </c>
    </row>
    <row r="42" spans="1:11" x14ac:dyDescent="0.25">
      <c r="A42" s="4" t="s">
        <v>60</v>
      </c>
      <c r="F42" s="8">
        <f>F34/(F34+F36)</f>
        <v>1</v>
      </c>
      <c r="H42" s="4" t="s">
        <v>60</v>
      </c>
      <c r="K42" s="8">
        <f>K34/(K34+K36)</f>
        <v>1</v>
      </c>
    </row>
    <row r="45" spans="1:11" ht="15.75" x14ac:dyDescent="0.25">
      <c r="A45" s="3" t="s">
        <v>61</v>
      </c>
      <c r="H45" s="3" t="s">
        <v>62</v>
      </c>
    </row>
    <row r="46" spans="1:11" x14ac:dyDescent="0.25">
      <c r="A46" s="4" t="s">
        <v>49</v>
      </c>
      <c r="F46">
        <f>COUNTIFS(H2:H28,"&lt;&gt;*_FP",H2:H28,"&lt;&gt;",H2:H28,"&lt;&gt;no structure")</f>
        <v>20</v>
      </c>
      <c r="H46" s="4" t="s">
        <v>49</v>
      </c>
      <c r="K46">
        <f>COUNTIFS(H2:H28,"&lt;&gt;*_FP",H2:H28,"&lt;&gt;",H2:H28,"&lt;&gt;no structure",T2:T28,"&lt;&gt;TRUE")</f>
        <v>20</v>
      </c>
    </row>
    <row r="47" spans="1:11" x14ac:dyDescent="0.25">
      <c r="A47" s="4" t="s">
        <v>50</v>
      </c>
      <c r="F47">
        <f>COUNTIFS(K2:K28,"&gt;0")</f>
        <v>17</v>
      </c>
      <c r="H47" s="4" t="s">
        <v>50</v>
      </c>
      <c r="K47">
        <f>COUNTIFS(K2:K28,"&gt;0",T2:T28,"&lt;&gt;TRUE")</f>
        <v>17</v>
      </c>
    </row>
    <row r="48" spans="1:11" x14ac:dyDescent="0.25">
      <c r="A48" s="4" t="s">
        <v>51</v>
      </c>
      <c r="F48">
        <f>COUNTIFS(L2:L28,"&gt;0")</f>
        <v>4</v>
      </c>
      <c r="H48" s="4" t="s">
        <v>51</v>
      </c>
      <c r="K48">
        <f>COUNTIFS(L2:L28,"&gt;0",U2:U28,"&lt;&gt;TRUE")</f>
        <v>4</v>
      </c>
    </row>
    <row r="49" spans="1:11" x14ac:dyDescent="0.25">
      <c r="A49" s="4" t="s">
        <v>52</v>
      </c>
      <c r="F49">
        <f>COUNTIFS(K2:K28,"&lt;&gt;-1",K2:K28,"&lt;&gt;0",K2:K28,"&lt;2")</f>
        <v>3</v>
      </c>
      <c r="H49" s="4" t="s">
        <v>52</v>
      </c>
      <c r="K49">
        <f>COUNTIFS(K2:K28,"&lt;&gt;-1",K2:K28,"&lt;&gt;0",K2:K28,"&lt;2",T2:T28,"&lt;&gt;TRUE")</f>
        <v>3</v>
      </c>
    </row>
    <row r="50" spans="1:11" x14ac:dyDescent="0.25">
      <c r="A50" s="4" t="s">
        <v>53</v>
      </c>
      <c r="F50">
        <f>COUNTIFS(L2:L28,"&lt;&gt;-1",L2:L28,"&lt;&gt;0",L2:L28,"&lt;2")</f>
        <v>0</v>
      </c>
      <c r="H50" s="4" t="s">
        <v>53</v>
      </c>
      <c r="K50">
        <f>COUNTIFS(L2:L28,"&lt;&gt;-1",L2:L28,"&lt;&gt;0",L2:L28,"&lt;2",U2:U28,"&lt;&gt;TRUE")</f>
        <v>0</v>
      </c>
    </row>
    <row r="51" spans="1:11" x14ac:dyDescent="0.25">
      <c r="A51" s="4" t="s">
        <v>54</v>
      </c>
      <c r="F51">
        <f>COUNTIFS(K2:K28,"=-1")+COUNTIFS(K2:K28,"=-3")</f>
        <v>3</v>
      </c>
      <c r="H51" s="4" t="s">
        <v>54</v>
      </c>
      <c r="K51">
        <f>COUNTIFS(K2:K28,"=-1",T2:T28,"&lt;&gt;TRUE")+COUNTIFS(K2:K28,"=-3",T2:T28,"&lt;&gt;TRUE")</f>
        <v>3</v>
      </c>
    </row>
    <row r="52" spans="1:11" x14ac:dyDescent="0.25">
      <c r="A52" s="4" t="s">
        <v>55</v>
      </c>
      <c r="F52">
        <f>COUNTIFS(L2:L28,"=-1")+COUNTIFS(L2:L28,"=-3")</f>
        <v>16</v>
      </c>
      <c r="H52" s="4" t="s">
        <v>55</v>
      </c>
      <c r="K52">
        <f>COUNTIFS(L2:L28,"=-1",U2:U28,"&lt;&gt;TRUE")+COUNTIFS(L2:L28,"=-3",U2:U28,"&lt;&gt;TRUE")</f>
        <v>16</v>
      </c>
    </row>
    <row r="53" spans="1:11" x14ac:dyDescent="0.25">
      <c r="A53" s="4" t="s">
        <v>56</v>
      </c>
      <c r="F53" s="8">
        <f>F47/F46</f>
        <v>0.85</v>
      </c>
      <c r="H53" s="4" t="s">
        <v>56</v>
      </c>
      <c r="K53" s="8">
        <f>K47/K46</f>
        <v>0.85</v>
      </c>
    </row>
    <row r="54" spans="1:11" x14ac:dyDescent="0.25">
      <c r="A54" s="4" t="s">
        <v>57</v>
      </c>
      <c r="F54" s="8">
        <f>F48/F46</f>
        <v>0.2</v>
      </c>
      <c r="H54" s="4" t="s">
        <v>58</v>
      </c>
      <c r="K54" s="8">
        <f>K48/K46</f>
        <v>0.2</v>
      </c>
    </row>
    <row r="55" spans="1:11" x14ac:dyDescent="0.25">
      <c r="A55" s="4" t="s">
        <v>59</v>
      </c>
      <c r="F55" s="8">
        <f>F47/(F47+F49)</f>
        <v>0.85</v>
      </c>
      <c r="H55" s="4" t="s">
        <v>59</v>
      </c>
      <c r="K55" s="8">
        <f>K47/(K47+K49)</f>
        <v>0.85</v>
      </c>
    </row>
    <row r="56" spans="1:11" x14ac:dyDescent="0.25">
      <c r="A56" s="4" t="s">
        <v>60</v>
      </c>
      <c r="F56" s="8">
        <f>F48/(F48+F50)</f>
        <v>1</v>
      </c>
      <c r="H56" s="4" t="s">
        <v>60</v>
      </c>
      <c r="K56" s="8">
        <f>K48/(K48+K50)</f>
        <v>1</v>
      </c>
    </row>
    <row r="59" spans="1:11" ht="15.75" x14ac:dyDescent="0.25">
      <c r="A59" s="3" t="s">
        <v>63</v>
      </c>
    </row>
    <row r="60" spans="1:11" x14ac:dyDescent="0.25">
      <c r="A60" s="1" t="s">
        <v>64</v>
      </c>
    </row>
    <row r="61" spans="1:11" x14ac:dyDescent="0.25">
      <c r="A61" s="5" t="s">
        <v>65</v>
      </c>
    </row>
    <row r="63" spans="1:11" x14ac:dyDescent="0.25">
      <c r="A63" s="1" t="s">
        <v>66</v>
      </c>
    </row>
    <row r="64" spans="1:11" x14ac:dyDescent="0.25">
      <c r="A64" s="6" t="s">
        <v>67</v>
      </c>
    </row>
    <row r="65" spans="1:1" x14ac:dyDescent="0.25">
      <c r="A65" s="7" t="s">
        <v>68</v>
      </c>
    </row>
    <row r="66" spans="1:1" x14ac:dyDescent="0.25">
      <c r="A66" s="5" t="s">
        <v>69</v>
      </c>
    </row>
    <row r="68" spans="1:1" x14ac:dyDescent="0.25">
      <c r="A68" s="4" t="s">
        <v>70</v>
      </c>
    </row>
    <row r="69" spans="1:1" x14ac:dyDescent="0.25">
      <c r="A69" t="s">
        <v>71</v>
      </c>
    </row>
    <row r="70" spans="1:1" x14ac:dyDescent="0.25">
      <c r="A70" t="s">
        <v>72</v>
      </c>
    </row>
    <row r="71" spans="1:1" x14ac:dyDescent="0.25">
      <c r="A71" t="s">
        <v>73</v>
      </c>
    </row>
    <row r="72" spans="1:1" x14ac:dyDescent="0.25">
      <c r="A72" t="s">
        <v>74</v>
      </c>
    </row>
    <row r="73" spans="1:1" x14ac:dyDescent="0.25">
      <c r="A73" t="s">
        <v>75</v>
      </c>
    </row>
    <row r="74" spans="1:1" x14ac:dyDescent="0.25">
      <c r="A74" t="s">
        <v>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278</v>
      </c>
      <c r="B2" s="11" t="s">
        <v>25</v>
      </c>
      <c r="C2" t="s">
        <v>20</v>
      </c>
      <c r="D2" s="10" t="s">
        <v>22</v>
      </c>
      <c r="E2" s="10" t="s">
        <v>22</v>
      </c>
      <c r="F2" s="10">
        <v>-1</v>
      </c>
      <c r="G2" s="10">
        <v>-1</v>
      </c>
      <c r="H2" s="11" t="s">
        <v>106</v>
      </c>
      <c r="I2" s="10" t="s">
        <v>22</v>
      </c>
      <c r="J2" s="10" t="s">
        <v>22</v>
      </c>
      <c r="K2" s="10">
        <v>-1</v>
      </c>
      <c r="L2" s="10">
        <v>-1</v>
      </c>
      <c r="M2" t="s">
        <v>279</v>
      </c>
      <c r="N2" t="s">
        <v>17</v>
      </c>
      <c r="O2" t="s">
        <v>280</v>
      </c>
      <c r="P2">
        <v>6.7</v>
      </c>
      <c r="Q2" t="s">
        <v>281</v>
      </c>
    </row>
    <row r="5" spans="1:21" ht="15.75" x14ac:dyDescent="0.25">
      <c r="A5" s="3" t="s">
        <v>47</v>
      </c>
      <c r="H5" s="3" t="s">
        <v>48</v>
      </c>
    </row>
    <row r="6" spans="1:21" x14ac:dyDescent="0.25">
      <c r="A6" s="4" t="s">
        <v>49</v>
      </c>
      <c r="F6">
        <f>COUNTIFS(B2:B2,"&lt;&gt;*_*",B2:B2,"&lt;&gt;")</f>
        <v>1</v>
      </c>
      <c r="H6" s="4" t="s">
        <v>49</v>
      </c>
      <c r="K6">
        <f>COUNTIFS(B2:B2,"&lt;&gt;*_*",B2:B2,"&lt;&gt;",R2:R2,"&lt;&gt;TRUE")</f>
        <v>1</v>
      </c>
    </row>
    <row r="7" spans="1:21" x14ac:dyDescent="0.25">
      <c r="A7" s="4" t="s">
        <v>50</v>
      </c>
      <c r="F7">
        <f>COUNTIFS(F2:F2,"&gt;0")</f>
        <v>0</v>
      </c>
      <c r="H7" s="4" t="s">
        <v>50</v>
      </c>
      <c r="K7">
        <f>COUNTIFS(F2:F2,"&gt;0",R2:R2,"&lt;&gt;TRUE")</f>
        <v>0</v>
      </c>
    </row>
    <row r="8" spans="1:21" x14ac:dyDescent="0.25">
      <c r="A8" s="4" t="s">
        <v>51</v>
      </c>
      <c r="F8">
        <f>COUNTIFS(G2:G2,"&gt;0")</f>
        <v>0</v>
      </c>
      <c r="H8" s="4" t="s">
        <v>51</v>
      </c>
      <c r="K8">
        <f>COUNTIFS(G2:G2,"&gt;0",S2:S2,"&lt;&gt;TRUE")</f>
        <v>0</v>
      </c>
    </row>
    <row r="9" spans="1:21" x14ac:dyDescent="0.25">
      <c r="A9" s="4" t="s">
        <v>52</v>
      </c>
      <c r="F9">
        <f>COUNTIFS(F2:F2,"&lt;&gt;-1",F2:F2,"&lt;&gt;0",F2:F2,"&lt;2")</f>
        <v>0</v>
      </c>
      <c r="H9" s="4" t="s">
        <v>52</v>
      </c>
      <c r="K9">
        <f>COUNTIFS(F2:F2,"&lt;&gt;-1",F2:F2,"&lt;&gt;0",F2:F2,"&lt;2",R2:R2,"&lt;&gt;TRUE")</f>
        <v>0</v>
      </c>
    </row>
    <row r="10" spans="1:21" x14ac:dyDescent="0.25">
      <c r="A10" s="4" t="s">
        <v>53</v>
      </c>
      <c r="F10">
        <f>COUNTIFS(G2:G2,"&lt;&gt;-1",G2:G2,"&lt;&gt;0",G2:G2,"&lt;2")</f>
        <v>0</v>
      </c>
      <c r="H10" s="4" t="s">
        <v>53</v>
      </c>
      <c r="K10">
        <f>COUNTIFS(G2:G2,"&lt;&gt;-1",G2:G2,"&lt;&gt;0",G2:G2,"&lt;2",S2:S2,"&lt;&gt;TRUE")</f>
        <v>0</v>
      </c>
    </row>
    <row r="11" spans="1:21" x14ac:dyDescent="0.25">
      <c r="A11" s="4" t="s">
        <v>54</v>
      </c>
      <c r="F11">
        <f>COUNTIFS(F2:F2,"=-1")+COUNTIFS(F2:F2,"=-3")</f>
        <v>1</v>
      </c>
      <c r="H11" s="4" t="s">
        <v>54</v>
      </c>
      <c r="K11">
        <f>COUNTIFS(F2:F2,"=-1",R2:R2,"&lt;&gt;TRUE")+COUNTIFS(F2:F2,"=-3",R2:R2,"&lt;&gt;TRUE")</f>
        <v>1</v>
      </c>
    </row>
    <row r="12" spans="1:21" x14ac:dyDescent="0.25">
      <c r="A12" s="4" t="s">
        <v>55</v>
      </c>
      <c r="F12">
        <f>COUNTIFS(G2:G2,"=-1")+COUNTIFS(G2:G2,"=-3")</f>
        <v>1</v>
      </c>
      <c r="H12" s="4" t="s">
        <v>55</v>
      </c>
      <c r="K12">
        <f>COUNTIFS(G2:G2,"=-1",S2:S2,"&lt;&gt;TRUE")+COUNTIFS(G2:G2,"=-3",S2:S2,"&lt;&gt;TRUE")</f>
        <v>1</v>
      </c>
    </row>
    <row r="13" spans="1:21" x14ac:dyDescent="0.25">
      <c r="A13" s="4" t="s">
        <v>56</v>
      </c>
      <c r="F13" s="8">
        <f>F7/F6</f>
        <v>0</v>
      </c>
      <c r="H13" s="4" t="s">
        <v>56</v>
      </c>
      <c r="K13" s="8">
        <f>K7/K6</f>
        <v>0</v>
      </c>
    </row>
    <row r="14" spans="1:21" x14ac:dyDescent="0.25">
      <c r="A14" s="4" t="s">
        <v>57</v>
      </c>
      <c r="F14" s="8">
        <f>F8/F6</f>
        <v>0</v>
      </c>
      <c r="H14" s="4" t="s">
        <v>58</v>
      </c>
      <c r="K14" s="8">
        <f>K8/K6</f>
        <v>0</v>
      </c>
    </row>
    <row r="15" spans="1:21" x14ac:dyDescent="0.25">
      <c r="A15" s="4" t="s">
        <v>59</v>
      </c>
      <c r="F15" s="12" t="s">
        <v>264</v>
      </c>
      <c r="H15" s="4" t="s">
        <v>59</v>
      </c>
      <c r="K15" s="12" t="s">
        <v>264</v>
      </c>
    </row>
    <row r="16" spans="1:21" x14ac:dyDescent="0.25">
      <c r="A16" s="4" t="s">
        <v>60</v>
      </c>
      <c r="F16" s="12" t="s">
        <v>264</v>
      </c>
      <c r="H16" s="4" t="s">
        <v>60</v>
      </c>
      <c r="K16" s="12" t="s">
        <v>264</v>
      </c>
    </row>
    <row r="19" spans="1:11" ht="15.75" x14ac:dyDescent="0.25">
      <c r="A19" s="3" t="s">
        <v>61</v>
      </c>
      <c r="H19" s="3" t="s">
        <v>62</v>
      </c>
    </row>
    <row r="20" spans="1:11" x14ac:dyDescent="0.25">
      <c r="A20" s="4" t="s">
        <v>49</v>
      </c>
      <c r="F20">
        <f>COUNTIFS(H2:H2,"&lt;&gt;*_FP",H2:H2,"&lt;&gt;",H2:H2,"&lt;&gt;no structure")</f>
        <v>1</v>
      </c>
      <c r="H20" s="4" t="s">
        <v>49</v>
      </c>
      <c r="K20">
        <f>COUNTIFS(H2:H2,"&lt;&gt;*_FP",H2:H2,"&lt;&gt;",H2:H2,"&lt;&gt;no structure",T2:T2,"&lt;&gt;TRUE")</f>
        <v>1</v>
      </c>
    </row>
    <row r="21" spans="1:11" x14ac:dyDescent="0.25">
      <c r="A21" s="4" t="s">
        <v>50</v>
      </c>
      <c r="F21">
        <f>COUNTIFS(K2:K2,"&gt;0")</f>
        <v>0</v>
      </c>
      <c r="H21" s="4" t="s">
        <v>50</v>
      </c>
      <c r="K21">
        <f>COUNTIFS(K2:K2,"&gt;0",T2:T2,"&lt;&gt;TRUE")</f>
        <v>0</v>
      </c>
    </row>
    <row r="22" spans="1:11" x14ac:dyDescent="0.25">
      <c r="A22" s="4" t="s">
        <v>51</v>
      </c>
      <c r="F22">
        <f>COUNTIFS(L2:L2,"&gt;0")</f>
        <v>0</v>
      </c>
      <c r="H22" s="4" t="s">
        <v>51</v>
      </c>
      <c r="K22">
        <f>COUNTIFS(L2:L2,"&gt;0",U2:U2,"&lt;&gt;TRUE")</f>
        <v>0</v>
      </c>
    </row>
    <row r="23" spans="1:11" x14ac:dyDescent="0.25">
      <c r="A23" s="4" t="s">
        <v>52</v>
      </c>
      <c r="F23">
        <f>COUNTIFS(K2:K2,"&lt;&gt;-1",K2:K2,"&lt;&gt;0",K2:K2,"&lt;2")</f>
        <v>0</v>
      </c>
      <c r="H23" s="4" t="s">
        <v>52</v>
      </c>
      <c r="K23">
        <f>COUNTIFS(K2:K2,"&lt;&gt;-1",K2:K2,"&lt;&gt;0",K2:K2,"&lt;2",T2:T2,"&lt;&gt;TRUE")</f>
        <v>0</v>
      </c>
    </row>
    <row r="24" spans="1:11" x14ac:dyDescent="0.25">
      <c r="A24" s="4" t="s">
        <v>53</v>
      </c>
      <c r="F24">
        <f>COUNTIFS(L2:L2,"&lt;&gt;-1",L2:L2,"&lt;&gt;0",L2:L2,"&lt;2")</f>
        <v>0</v>
      </c>
      <c r="H24" s="4" t="s">
        <v>53</v>
      </c>
      <c r="K24">
        <f>COUNTIFS(L2:L2,"&lt;&gt;-1",L2:L2,"&lt;&gt;0",L2:L2,"&lt;2",U2:U2,"&lt;&gt;TRUE")</f>
        <v>0</v>
      </c>
    </row>
    <row r="25" spans="1:11" x14ac:dyDescent="0.25">
      <c r="A25" s="4" t="s">
        <v>54</v>
      </c>
      <c r="F25">
        <f>COUNTIFS(K2:K2,"=-1")+COUNTIFS(K2:K2,"=-3")</f>
        <v>1</v>
      </c>
      <c r="H25" s="4" t="s">
        <v>54</v>
      </c>
      <c r="K25">
        <f>COUNTIFS(K2:K2,"=-1",T2:T2,"&lt;&gt;TRUE")+COUNTIFS(K2:K2,"=-3",T2:T2,"&lt;&gt;TRUE")</f>
        <v>1</v>
      </c>
    </row>
    <row r="26" spans="1:11" x14ac:dyDescent="0.25">
      <c r="A26" s="4" t="s">
        <v>55</v>
      </c>
      <c r="F26">
        <f>COUNTIFS(L2:L2,"=-1")+COUNTIFS(L2:L2,"=-3")</f>
        <v>1</v>
      </c>
      <c r="H26" s="4" t="s">
        <v>55</v>
      </c>
      <c r="K26">
        <f>COUNTIFS(L2:L2,"=-1",U2:U2,"&lt;&gt;TRUE")+COUNTIFS(L2:L2,"=-3",U2:U2,"&lt;&gt;TRUE")</f>
        <v>1</v>
      </c>
    </row>
    <row r="27" spans="1:11" x14ac:dyDescent="0.25">
      <c r="A27" s="4" t="s">
        <v>56</v>
      </c>
      <c r="F27" s="8">
        <f>F21/F20</f>
        <v>0</v>
      </c>
      <c r="H27" s="4" t="s">
        <v>56</v>
      </c>
      <c r="K27" s="8">
        <f>K21/K20</f>
        <v>0</v>
      </c>
    </row>
    <row r="28" spans="1:11" x14ac:dyDescent="0.25">
      <c r="A28" s="4" t="s">
        <v>57</v>
      </c>
      <c r="F28" s="8">
        <f>F22/F20</f>
        <v>0</v>
      </c>
      <c r="H28" s="4" t="s">
        <v>58</v>
      </c>
      <c r="K28" s="8">
        <f>K22/K20</f>
        <v>0</v>
      </c>
    </row>
    <row r="29" spans="1:11" x14ac:dyDescent="0.25">
      <c r="A29" s="4" t="s">
        <v>59</v>
      </c>
      <c r="F29" s="12" t="s">
        <v>264</v>
      </c>
      <c r="H29" s="4" t="s">
        <v>59</v>
      </c>
      <c r="K29" s="12" t="s">
        <v>264</v>
      </c>
    </row>
    <row r="30" spans="1:11" x14ac:dyDescent="0.25">
      <c r="A30" s="4" t="s">
        <v>60</v>
      </c>
      <c r="F30" s="12" t="s">
        <v>264</v>
      </c>
      <c r="H30" s="4" t="s">
        <v>60</v>
      </c>
      <c r="K30" s="12" t="s">
        <v>264</v>
      </c>
    </row>
    <row r="33" spans="1:1" ht="15.75" x14ac:dyDescent="0.25">
      <c r="A33" s="3" t="s">
        <v>63</v>
      </c>
    </row>
    <row r="34" spans="1:1" x14ac:dyDescent="0.25">
      <c r="A34" s="1" t="s">
        <v>64</v>
      </c>
    </row>
    <row r="35" spans="1:1" x14ac:dyDescent="0.25">
      <c r="A35" s="5" t="s">
        <v>65</v>
      </c>
    </row>
    <row r="37" spans="1:1" x14ac:dyDescent="0.25">
      <c r="A37" s="1" t="s">
        <v>66</v>
      </c>
    </row>
    <row r="38" spans="1:1" x14ac:dyDescent="0.25">
      <c r="A38" s="6" t="s">
        <v>67</v>
      </c>
    </row>
    <row r="39" spans="1:1" x14ac:dyDescent="0.25">
      <c r="A39" s="7" t="s">
        <v>68</v>
      </c>
    </row>
    <row r="40" spans="1:1" x14ac:dyDescent="0.25">
      <c r="A40" s="5" t="s">
        <v>69</v>
      </c>
    </row>
    <row r="42" spans="1:1" x14ac:dyDescent="0.25">
      <c r="A42" s="4" t="s">
        <v>70</v>
      </c>
    </row>
    <row r="43" spans="1:1" x14ac:dyDescent="0.25">
      <c r="A43" t="s">
        <v>71</v>
      </c>
    </row>
    <row r="44" spans="1:1" x14ac:dyDescent="0.25">
      <c r="A44" t="s">
        <v>72</v>
      </c>
    </row>
    <row r="45" spans="1:1" x14ac:dyDescent="0.25">
      <c r="A45" t="s">
        <v>73</v>
      </c>
    </row>
    <row r="46" spans="1:1" x14ac:dyDescent="0.25">
      <c r="A46" t="s">
        <v>74</v>
      </c>
    </row>
    <row r="47" spans="1:1" x14ac:dyDescent="0.25">
      <c r="A47" t="s">
        <v>75</v>
      </c>
    </row>
    <row r="48" spans="1:1" x14ac:dyDescent="0.25">
      <c r="A48" t="s">
        <v>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256</v>
      </c>
      <c r="B2" s="1" t="s">
        <v>257</v>
      </c>
      <c r="C2" t="s">
        <v>20</v>
      </c>
      <c r="D2" s="1" t="s">
        <v>257</v>
      </c>
      <c r="E2" s="5" t="s">
        <v>22</v>
      </c>
      <c r="F2" s="1">
        <v>2</v>
      </c>
      <c r="G2" s="5">
        <v>-1</v>
      </c>
      <c r="H2" t="s">
        <v>258</v>
      </c>
      <c r="I2" t="s">
        <v>259</v>
      </c>
      <c r="J2" t="s">
        <v>17</v>
      </c>
    </row>
    <row r="5" spans="1:14" ht="15.75" x14ac:dyDescent="0.25">
      <c r="A5" s="3" t="s">
        <v>47</v>
      </c>
      <c r="H5" s="3" t="s">
        <v>48</v>
      </c>
    </row>
    <row r="6" spans="1:14" x14ac:dyDescent="0.25">
      <c r="A6" s="4" t="s">
        <v>49</v>
      </c>
      <c r="F6">
        <f>COUNTIFS(B2:B2,"&lt;&gt;*_*",B2:B2,"&lt;&gt;")</f>
        <v>1</v>
      </c>
      <c r="H6" s="4" t="s">
        <v>49</v>
      </c>
      <c r="K6">
        <f>COUNTIFS(B2:B2,"&lt;&gt;*_*",B2:B2,"&lt;&gt;",M2:M2,"&lt;&gt;TRUE")</f>
        <v>1</v>
      </c>
    </row>
    <row r="7" spans="1:14" x14ac:dyDescent="0.25">
      <c r="A7" s="4" t="s">
        <v>50</v>
      </c>
      <c r="F7">
        <f>COUNTIFS(F2:F2,"&gt;0")</f>
        <v>1</v>
      </c>
      <c r="H7" s="4" t="s">
        <v>50</v>
      </c>
      <c r="K7">
        <f>COUNTIFS(F2:F2,"&gt;0",M2:M2,"&lt;&gt;TRUE")</f>
        <v>1</v>
      </c>
    </row>
    <row r="8" spans="1:14" x14ac:dyDescent="0.25">
      <c r="A8" s="4" t="s">
        <v>51</v>
      </c>
      <c r="F8">
        <f>COUNTIFS(G2:G2,"&gt;0")</f>
        <v>0</v>
      </c>
      <c r="H8" s="4" t="s">
        <v>51</v>
      </c>
      <c r="K8">
        <f>COUNTIFS(G2:G2,"&gt;0",N2:N2,"&lt;&gt;TRUE")</f>
        <v>0</v>
      </c>
    </row>
    <row r="9" spans="1:14" x14ac:dyDescent="0.25">
      <c r="A9" s="4" t="s">
        <v>52</v>
      </c>
      <c r="F9">
        <f>COUNTIFS(F2:F2,"&lt;&gt;-1",F2:F2,"&lt;&gt;0",F2:F2,"&lt;2")</f>
        <v>0</v>
      </c>
      <c r="H9" s="4" t="s">
        <v>52</v>
      </c>
      <c r="K9">
        <f>COUNTIFS(F2:F2,"&lt;&gt;-1",F2:F2,"&lt;&gt;0",F2:F2,"&lt;2",M2:M2,"&lt;&gt;TRUE")</f>
        <v>0</v>
      </c>
    </row>
    <row r="10" spans="1:14" x14ac:dyDescent="0.25">
      <c r="A10" s="4" t="s">
        <v>53</v>
      </c>
      <c r="F10">
        <f>COUNTIFS(G2:G2,"&lt;&gt;-1",G2:G2,"&lt;&gt;0",G2:G2,"&lt;2")</f>
        <v>0</v>
      </c>
      <c r="H10" s="4" t="s">
        <v>53</v>
      </c>
      <c r="K10">
        <f>COUNTIFS(G2:G2,"&lt;&gt;-1",G2:G2,"&lt;&gt;0",G2:G2,"&lt;2",N2:N2,"&lt;&gt;TRUE")</f>
        <v>0</v>
      </c>
    </row>
    <row r="11" spans="1:14" x14ac:dyDescent="0.25">
      <c r="A11" s="4" t="s">
        <v>54</v>
      </c>
      <c r="F11">
        <f>COUNTIFS(F2:F2,"=-1")+COUNTIFS(F2:F2,"=-3")</f>
        <v>0</v>
      </c>
      <c r="H11" s="4" t="s">
        <v>54</v>
      </c>
      <c r="K11">
        <f>COUNTIFS(F2:F2,"=-1",M2:M2,"&lt;&gt;TRUE")+COUNTIFS(F2:F2,"=-3",M2:M2,"&lt;&gt;TRUE")</f>
        <v>0</v>
      </c>
    </row>
    <row r="12" spans="1:14" x14ac:dyDescent="0.25">
      <c r="A12" s="4" t="s">
        <v>55</v>
      </c>
      <c r="F12">
        <f>COUNTIFS(G2:G2,"=-1")+COUNTIFS(G2:G2,"=-3")</f>
        <v>1</v>
      </c>
      <c r="H12" s="4" t="s">
        <v>55</v>
      </c>
      <c r="K12">
        <f>COUNTIFS(G2:G2,"=-1",N2:N2,"&lt;&gt;TRUE")+COUNTIFS(G2:G2,"=-3",N2:N2,"&lt;&gt;TRUE")</f>
        <v>1</v>
      </c>
    </row>
    <row r="13" spans="1:14" x14ac:dyDescent="0.25">
      <c r="A13" s="4" t="s">
        <v>56</v>
      </c>
      <c r="F13" s="8">
        <f>F7/F6</f>
        <v>1</v>
      </c>
      <c r="H13" s="4" t="s">
        <v>56</v>
      </c>
      <c r="K13" s="8">
        <f>K7/K6</f>
        <v>1</v>
      </c>
    </row>
    <row r="14" spans="1:14" x14ac:dyDescent="0.25">
      <c r="A14" s="4" t="s">
        <v>57</v>
      </c>
      <c r="F14" s="8">
        <f>F8/F6</f>
        <v>0</v>
      </c>
      <c r="H14" s="4" t="s">
        <v>58</v>
      </c>
      <c r="K14" s="8">
        <f>K8/K6</f>
        <v>0</v>
      </c>
    </row>
    <row r="15" spans="1:14" x14ac:dyDescent="0.25">
      <c r="A15" s="4" t="s">
        <v>59</v>
      </c>
      <c r="F15" s="8">
        <f>F7/(F7+F9)</f>
        <v>1</v>
      </c>
      <c r="H15" s="4" t="s">
        <v>59</v>
      </c>
      <c r="K15" s="8">
        <f>K7/(K7+K9)</f>
        <v>1</v>
      </c>
    </row>
    <row r="16" spans="1:14" x14ac:dyDescent="0.25">
      <c r="A16" s="4" t="s">
        <v>60</v>
      </c>
      <c r="F16" s="12" t="s">
        <v>264</v>
      </c>
      <c r="H16" s="4" t="s">
        <v>60</v>
      </c>
      <c r="K16" s="12" t="s">
        <v>264</v>
      </c>
    </row>
    <row r="19" spans="1:1" ht="15.75" x14ac:dyDescent="0.25">
      <c r="A19" s="3" t="s">
        <v>63</v>
      </c>
    </row>
    <row r="20" spans="1:1" x14ac:dyDescent="0.25">
      <c r="A20" s="1" t="s">
        <v>64</v>
      </c>
    </row>
    <row r="21" spans="1:1" x14ac:dyDescent="0.25">
      <c r="A21" s="5" t="s">
        <v>65</v>
      </c>
    </row>
    <row r="23" spans="1:1" x14ac:dyDescent="0.25">
      <c r="A23" s="1" t="s">
        <v>66</v>
      </c>
    </row>
    <row r="24" spans="1:1" x14ac:dyDescent="0.25">
      <c r="A24" s="6" t="s">
        <v>67</v>
      </c>
    </row>
    <row r="25" spans="1:1" x14ac:dyDescent="0.25">
      <c r="A25" s="7" t="s">
        <v>68</v>
      </c>
    </row>
    <row r="26" spans="1:1" x14ac:dyDescent="0.25">
      <c r="A26" s="5" t="s">
        <v>69</v>
      </c>
    </row>
    <row r="28" spans="1:1" x14ac:dyDescent="0.25">
      <c r="A28" s="4" t="s">
        <v>70</v>
      </c>
    </row>
    <row r="29" spans="1:1" x14ac:dyDescent="0.25">
      <c r="A29" t="s">
        <v>71</v>
      </c>
    </row>
    <row r="30" spans="1:1" x14ac:dyDescent="0.25">
      <c r="A30" t="s">
        <v>72</v>
      </c>
    </row>
    <row r="31" spans="1:1" x14ac:dyDescent="0.25">
      <c r="A31" t="s">
        <v>73</v>
      </c>
    </row>
    <row r="32" spans="1:1" x14ac:dyDescent="0.25">
      <c r="A32" t="s">
        <v>74</v>
      </c>
    </row>
    <row r="33" spans="1:1" x14ac:dyDescent="0.25">
      <c r="A33" t="s">
        <v>75</v>
      </c>
    </row>
    <row r="34" spans="1:1" x14ac:dyDescent="0.25">
      <c r="A34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Summary</vt:lpstr>
      <vt:lpstr>PI</vt:lpstr>
      <vt:lpstr>P-PE</vt:lpstr>
      <vt:lpstr>LPE</vt:lpstr>
      <vt:lpstr>PS</vt:lpstr>
      <vt:lpstr>PC</vt:lpstr>
      <vt:lpstr>PE</vt:lpstr>
      <vt:lpstr>PG</vt:lpstr>
      <vt:lpstr>Cer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Köfeler Harald, Mag.Dr.</cp:lastModifiedBy>
  <dcterms:created xsi:type="dcterms:W3CDTF">2017-03-17T14:44:48Z</dcterms:created>
  <dcterms:modified xsi:type="dcterms:W3CDTF">2017-05-02T08:18:56Z</dcterms:modified>
</cp:coreProperties>
</file>