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ummary" sheetId="8" r:id="rId1"/>
    <sheet name="021" sheetId="9" r:id="rId2"/>
    <sheet name="022" sheetId="11" r:id="rId3"/>
    <sheet name="023" sheetId="12" r:id="rId4"/>
    <sheet name="024" sheetId="13" r:id="rId5"/>
    <sheet name="025" sheetId="14" r:id="rId6"/>
  </sheets>
  <calcPr calcId="145621"/>
</workbook>
</file>

<file path=xl/calcChain.xml><?xml version="1.0" encoding="utf-8"?>
<calcChain xmlns="http://schemas.openxmlformats.org/spreadsheetml/2006/main">
  <c r="U13" i="11" l="1"/>
  <c r="U7" i="11"/>
  <c r="U24" i="11"/>
  <c r="U30" i="11"/>
  <c r="G30" i="14" l="1"/>
  <c r="G27" i="14"/>
  <c r="G26" i="14"/>
  <c r="G25" i="14"/>
  <c r="G24" i="14"/>
  <c r="G23" i="14"/>
  <c r="G22" i="14"/>
  <c r="G21" i="14"/>
  <c r="M30" i="14"/>
  <c r="M27" i="14"/>
  <c r="M26" i="14"/>
  <c r="M25" i="14"/>
  <c r="M24" i="14"/>
  <c r="M23" i="14"/>
  <c r="M22" i="14"/>
  <c r="M21" i="14"/>
  <c r="S30" i="14"/>
  <c r="S27" i="14"/>
  <c r="S26" i="14"/>
  <c r="S25" i="14"/>
  <c r="S24" i="14"/>
  <c r="S22" i="14"/>
  <c r="S21" i="14"/>
  <c r="Y30" i="14"/>
  <c r="Y27" i="14"/>
  <c r="Y26" i="14"/>
  <c r="Y25" i="14"/>
  <c r="Y24" i="14"/>
  <c r="Y22" i="14"/>
  <c r="Y21" i="14"/>
  <c r="Y13" i="14"/>
  <c r="Y10" i="14"/>
  <c r="Y9" i="14"/>
  <c r="Y8" i="14"/>
  <c r="Y7" i="14"/>
  <c r="Y5" i="14"/>
  <c r="Y4" i="14"/>
  <c r="S13" i="14"/>
  <c r="S10" i="14"/>
  <c r="S9" i="14"/>
  <c r="S8" i="14"/>
  <c r="S7" i="14"/>
  <c r="S5" i="14"/>
  <c r="S4" i="14"/>
  <c r="M13" i="14"/>
  <c r="M10" i="14"/>
  <c r="M9" i="14"/>
  <c r="M8" i="14"/>
  <c r="M7" i="14"/>
  <c r="M6" i="14"/>
  <c r="M5" i="14"/>
  <c r="M4" i="14"/>
  <c r="G13" i="14"/>
  <c r="G10" i="14"/>
  <c r="G9" i="14"/>
  <c r="G8" i="14"/>
  <c r="G7" i="14"/>
  <c r="G6" i="14"/>
  <c r="G5" i="14"/>
  <c r="G4" i="14"/>
  <c r="E30" i="14" l="1"/>
  <c r="C30" i="14"/>
  <c r="E27" i="14"/>
  <c r="C27" i="14"/>
  <c r="E26" i="14"/>
  <c r="C26" i="14"/>
  <c r="E25" i="14"/>
  <c r="C25" i="14"/>
  <c r="E24" i="14"/>
  <c r="C24" i="14"/>
  <c r="E23" i="14"/>
  <c r="C23" i="14"/>
  <c r="E22" i="14"/>
  <c r="C22" i="14"/>
  <c r="E21" i="14"/>
  <c r="C21" i="14"/>
  <c r="K30" i="14"/>
  <c r="I30" i="14"/>
  <c r="K27" i="14"/>
  <c r="I27" i="14"/>
  <c r="K26" i="14"/>
  <c r="I26" i="14"/>
  <c r="K25" i="14"/>
  <c r="I25" i="14"/>
  <c r="K24" i="14"/>
  <c r="I24" i="14"/>
  <c r="I23" i="14"/>
  <c r="K21" i="14"/>
  <c r="I21" i="14"/>
  <c r="Q30" i="14"/>
  <c r="O30" i="14"/>
  <c r="Q27" i="14"/>
  <c r="O27" i="14"/>
  <c r="Q26" i="14"/>
  <c r="O26" i="14"/>
  <c r="Q25" i="14"/>
  <c r="O25" i="14"/>
  <c r="Q24" i="14"/>
  <c r="O24" i="14"/>
  <c r="Q22" i="14"/>
  <c r="O22" i="14"/>
  <c r="Q21" i="14"/>
  <c r="O21" i="14"/>
  <c r="W30" i="14"/>
  <c r="U30" i="14"/>
  <c r="U27" i="14"/>
  <c r="W26" i="14"/>
  <c r="U26" i="14"/>
  <c r="W25" i="14"/>
  <c r="U25" i="14"/>
  <c r="W24" i="14"/>
  <c r="U24" i="14"/>
  <c r="W21" i="14"/>
  <c r="U21" i="14"/>
  <c r="W13" i="14"/>
  <c r="U13" i="14"/>
  <c r="U10" i="14"/>
  <c r="W9" i="14"/>
  <c r="U9" i="14"/>
  <c r="W8" i="14"/>
  <c r="U8" i="14"/>
  <c r="W7" i="14"/>
  <c r="U7" i="14"/>
  <c r="W4" i="14"/>
  <c r="U4" i="14"/>
  <c r="Q13" i="14"/>
  <c r="O13" i="14"/>
  <c r="Q10" i="14"/>
  <c r="O10" i="14"/>
  <c r="Q9" i="14"/>
  <c r="O9" i="14"/>
  <c r="Q8" i="14"/>
  <c r="O8" i="14"/>
  <c r="Q7" i="14"/>
  <c r="O7" i="14"/>
  <c r="Q5" i="14"/>
  <c r="O5" i="14"/>
  <c r="Q4" i="14"/>
  <c r="O4" i="14"/>
  <c r="K13" i="14"/>
  <c r="I13" i="14"/>
  <c r="K10" i="14"/>
  <c r="I10" i="14"/>
  <c r="K9" i="14"/>
  <c r="I9" i="14"/>
  <c r="K8" i="14"/>
  <c r="I8" i="14"/>
  <c r="K7" i="14"/>
  <c r="I7" i="14"/>
  <c r="I6" i="14"/>
  <c r="K4" i="14"/>
  <c r="I4" i="14"/>
  <c r="E13" i="14"/>
  <c r="C13" i="14"/>
  <c r="E10" i="14"/>
  <c r="C10" i="14"/>
  <c r="E9" i="14"/>
  <c r="C9" i="14"/>
  <c r="E8" i="14"/>
  <c r="C8" i="14"/>
  <c r="E7" i="14"/>
  <c r="C7" i="14"/>
  <c r="E6" i="14"/>
  <c r="C6" i="14"/>
  <c r="E5" i="14"/>
  <c r="C5" i="14"/>
  <c r="E4" i="14"/>
  <c r="C4" i="14"/>
  <c r="G30" i="13" l="1"/>
  <c r="G28" i="13"/>
  <c r="G27" i="13"/>
  <c r="G26" i="13"/>
  <c r="G25" i="13"/>
  <c r="G24" i="13"/>
  <c r="G23" i="13"/>
  <c r="G22" i="13"/>
  <c r="G21" i="13"/>
  <c r="M30" i="13"/>
  <c r="M28" i="13"/>
  <c r="M27" i="13"/>
  <c r="M26" i="13"/>
  <c r="M25" i="13"/>
  <c r="M24" i="13"/>
  <c r="M23" i="13"/>
  <c r="M22" i="13"/>
  <c r="M21" i="13"/>
  <c r="S30" i="13"/>
  <c r="S27" i="13"/>
  <c r="S26" i="13"/>
  <c r="S25" i="13"/>
  <c r="S24" i="13"/>
  <c r="S22" i="13"/>
  <c r="S21" i="13"/>
  <c r="Y30" i="13"/>
  <c r="Y27" i="13"/>
  <c r="Y26" i="13"/>
  <c r="Y25" i="13"/>
  <c r="Y24" i="13"/>
  <c r="Y22" i="13"/>
  <c r="Y21" i="13"/>
  <c r="Y13" i="13"/>
  <c r="Y10" i="13"/>
  <c r="Y9" i="13"/>
  <c r="Y8" i="13"/>
  <c r="Y7" i="13"/>
  <c r="Y5" i="13"/>
  <c r="Y4" i="13"/>
  <c r="S13" i="13"/>
  <c r="S10" i="13"/>
  <c r="S9" i="13"/>
  <c r="S8" i="13"/>
  <c r="S7" i="13"/>
  <c r="S5" i="13"/>
  <c r="S4" i="13"/>
  <c r="M13" i="13"/>
  <c r="M11" i="13"/>
  <c r="M10" i="13"/>
  <c r="M9" i="13"/>
  <c r="M8" i="13"/>
  <c r="M7" i="13"/>
  <c r="M6" i="13"/>
  <c r="M5" i="13"/>
  <c r="M4" i="13"/>
  <c r="G13" i="13"/>
  <c r="G11" i="13"/>
  <c r="G10" i="13"/>
  <c r="G9" i="13"/>
  <c r="G8" i="13"/>
  <c r="G7" i="13"/>
  <c r="G6" i="13"/>
  <c r="G5" i="13"/>
  <c r="G4" i="13"/>
  <c r="E30" i="13" l="1"/>
  <c r="C30" i="13"/>
  <c r="E28" i="13"/>
  <c r="C28" i="13"/>
  <c r="E27" i="13"/>
  <c r="C27" i="13"/>
  <c r="E26" i="13"/>
  <c r="C26" i="13"/>
  <c r="E25" i="13"/>
  <c r="C25" i="13"/>
  <c r="E24" i="13"/>
  <c r="C24" i="13"/>
  <c r="E23" i="13"/>
  <c r="C23" i="13"/>
  <c r="E22" i="13"/>
  <c r="C22" i="13"/>
  <c r="E21" i="13"/>
  <c r="C21" i="13"/>
  <c r="K30" i="13"/>
  <c r="I30" i="13"/>
  <c r="I28" i="13"/>
  <c r="K26" i="13"/>
  <c r="I26" i="13"/>
  <c r="K25" i="13"/>
  <c r="I25" i="13"/>
  <c r="K24" i="13"/>
  <c r="I24" i="13"/>
  <c r="I23" i="13"/>
  <c r="I22" i="13"/>
  <c r="K21" i="13"/>
  <c r="I21" i="13"/>
  <c r="Q30" i="13"/>
  <c r="O30" i="13"/>
  <c r="Q27" i="13"/>
  <c r="O27" i="13"/>
  <c r="Q26" i="13"/>
  <c r="O26" i="13"/>
  <c r="Q25" i="13"/>
  <c r="O25" i="13"/>
  <c r="Q24" i="13"/>
  <c r="O24" i="13"/>
  <c r="Q22" i="13"/>
  <c r="O22" i="13"/>
  <c r="Q21" i="13"/>
  <c r="O21" i="13"/>
  <c r="W30" i="13"/>
  <c r="U30" i="13"/>
  <c r="W26" i="13"/>
  <c r="U26" i="13"/>
  <c r="W25" i="13"/>
  <c r="U25" i="13"/>
  <c r="W24" i="13"/>
  <c r="U24" i="13"/>
  <c r="U22" i="13"/>
  <c r="W21" i="13"/>
  <c r="U21" i="13"/>
  <c r="W13" i="13"/>
  <c r="U13" i="13"/>
  <c r="W9" i="13"/>
  <c r="U9" i="13"/>
  <c r="W8" i="13"/>
  <c r="U8" i="13"/>
  <c r="W7" i="13"/>
  <c r="U7" i="13"/>
  <c r="U5" i="13"/>
  <c r="W4" i="13"/>
  <c r="U4" i="13"/>
  <c r="Q13" i="13"/>
  <c r="O13" i="13"/>
  <c r="Q10" i="13"/>
  <c r="O10" i="13"/>
  <c r="Q9" i="13"/>
  <c r="O9" i="13"/>
  <c r="Q8" i="13"/>
  <c r="O8" i="13"/>
  <c r="Q7" i="13"/>
  <c r="O7" i="13"/>
  <c r="Q5" i="13"/>
  <c r="O5" i="13"/>
  <c r="Q4" i="13"/>
  <c r="O4" i="13"/>
  <c r="K13" i="13"/>
  <c r="I13" i="13"/>
  <c r="I11" i="13"/>
  <c r="K9" i="13"/>
  <c r="I9" i="13"/>
  <c r="K8" i="13"/>
  <c r="I8" i="13"/>
  <c r="K7" i="13"/>
  <c r="I7" i="13"/>
  <c r="I6" i="13"/>
  <c r="I5" i="13"/>
  <c r="K4" i="13"/>
  <c r="I4" i="13"/>
  <c r="E13" i="13"/>
  <c r="C13" i="13"/>
  <c r="E11" i="13"/>
  <c r="C11" i="13"/>
  <c r="E10" i="13"/>
  <c r="C10" i="13"/>
  <c r="E9" i="13"/>
  <c r="C9" i="13"/>
  <c r="E8" i="13"/>
  <c r="C8" i="13"/>
  <c r="E7" i="13"/>
  <c r="C7" i="13"/>
  <c r="E6" i="13"/>
  <c r="C6" i="13"/>
  <c r="E5" i="13"/>
  <c r="C5" i="13"/>
  <c r="E4" i="13"/>
  <c r="C4" i="13"/>
  <c r="G30" i="12" l="1"/>
  <c r="G28" i="12"/>
  <c r="G27" i="12"/>
  <c r="G26" i="12"/>
  <c r="G25" i="12"/>
  <c r="G24" i="12"/>
  <c r="G23" i="12"/>
  <c r="G21" i="12"/>
  <c r="M30" i="12"/>
  <c r="M27" i="12"/>
  <c r="M26" i="12"/>
  <c r="M25" i="12"/>
  <c r="M24" i="12"/>
  <c r="M21" i="12"/>
  <c r="S30" i="12"/>
  <c r="S27" i="12"/>
  <c r="S26" i="12"/>
  <c r="S25" i="12"/>
  <c r="S24" i="12"/>
  <c r="S21" i="12"/>
  <c r="Y30" i="12"/>
  <c r="Y27" i="12"/>
  <c r="Y26" i="12"/>
  <c r="Y25" i="12"/>
  <c r="Y24" i="12"/>
  <c r="Y21" i="12"/>
  <c r="Y13" i="12"/>
  <c r="Y10" i="12"/>
  <c r="Y9" i="12"/>
  <c r="Y8" i="12"/>
  <c r="Y7" i="12"/>
  <c r="Y4" i="12"/>
  <c r="S13" i="12"/>
  <c r="S10" i="12"/>
  <c r="S9" i="12"/>
  <c r="S8" i="12"/>
  <c r="S7" i="12"/>
  <c r="S4" i="12"/>
  <c r="M13" i="12"/>
  <c r="M10" i="12"/>
  <c r="M9" i="12"/>
  <c r="M8" i="12"/>
  <c r="M7" i="12"/>
  <c r="M4" i="12"/>
  <c r="G13" i="12"/>
  <c r="G11" i="12"/>
  <c r="G10" i="12"/>
  <c r="G9" i="12"/>
  <c r="G8" i="12"/>
  <c r="G7" i="12"/>
  <c r="G6" i="12"/>
  <c r="G4" i="12"/>
  <c r="Q30" i="12" l="1"/>
  <c r="O30" i="12"/>
  <c r="Q27" i="12"/>
  <c r="O27" i="12"/>
  <c r="Q26" i="12"/>
  <c r="O26" i="12"/>
  <c r="Q25" i="12"/>
  <c r="O25" i="12"/>
  <c r="Q24" i="12"/>
  <c r="O24" i="12"/>
  <c r="Q21" i="12"/>
  <c r="O21" i="12"/>
  <c r="K30" i="12"/>
  <c r="I30" i="12"/>
  <c r="I28" i="12"/>
  <c r="I27" i="12"/>
  <c r="K26" i="12"/>
  <c r="I26" i="12"/>
  <c r="K25" i="12"/>
  <c r="I25" i="12"/>
  <c r="K24" i="12"/>
  <c r="I24" i="12"/>
  <c r="I23" i="12"/>
  <c r="I22" i="12"/>
  <c r="K21" i="12"/>
  <c r="I21" i="12"/>
  <c r="E30" i="12"/>
  <c r="C30" i="12"/>
  <c r="E28" i="12"/>
  <c r="C28" i="12"/>
  <c r="E27" i="12"/>
  <c r="C27" i="12"/>
  <c r="E26" i="12"/>
  <c r="C26" i="12"/>
  <c r="E25" i="12"/>
  <c r="C25" i="12"/>
  <c r="E24" i="12"/>
  <c r="C24" i="12"/>
  <c r="E23" i="12"/>
  <c r="C23" i="12"/>
  <c r="E21" i="12"/>
  <c r="C21" i="12"/>
  <c r="W30" i="12"/>
  <c r="U30" i="12"/>
  <c r="U27" i="12"/>
  <c r="W26" i="12"/>
  <c r="U26" i="12"/>
  <c r="W25" i="12"/>
  <c r="U25" i="12"/>
  <c r="W24" i="12"/>
  <c r="U24" i="12"/>
  <c r="U22" i="12"/>
  <c r="W21" i="12"/>
  <c r="U21" i="12"/>
  <c r="W13" i="12"/>
  <c r="U13" i="12"/>
  <c r="U10" i="12"/>
  <c r="W9" i="12"/>
  <c r="U9" i="12"/>
  <c r="W8" i="12"/>
  <c r="U8" i="12"/>
  <c r="W7" i="12"/>
  <c r="U7" i="12"/>
  <c r="U5" i="12"/>
  <c r="W4" i="12"/>
  <c r="U4" i="12"/>
  <c r="Q13" i="12"/>
  <c r="O13" i="12"/>
  <c r="Q10" i="12"/>
  <c r="O10" i="12"/>
  <c r="Q9" i="12"/>
  <c r="O9" i="12"/>
  <c r="Q8" i="12"/>
  <c r="O8" i="12"/>
  <c r="Q7" i="12"/>
  <c r="O7" i="12"/>
  <c r="Q4" i="12"/>
  <c r="O4" i="12"/>
  <c r="K13" i="12"/>
  <c r="I13" i="12"/>
  <c r="I11" i="12"/>
  <c r="I10" i="12"/>
  <c r="K9" i="12"/>
  <c r="I9" i="12"/>
  <c r="K8" i="12"/>
  <c r="I8" i="12"/>
  <c r="K7" i="12"/>
  <c r="I7" i="12"/>
  <c r="I6" i="12"/>
  <c r="I5" i="12"/>
  <c r="K4" i="12"/>
  <c r="I4" i="12"/>
  <c r="C13" i="12"/>
  <c r="E11" i="12"/>
  <c r="C11" i="12"/>
  <c r="E10" i="12"/>
  <c r="C10" i="12"/>
  <c r="E9" i="12"/>
  <c r="C9" i="12"/>
  <c r="E8" i="12"/>
  <c r="C8" i="12"/>
  <c r="E7" i="12"/>
  <c r="C7" i="12"/>
  <c r="E6" i="12"/>
  <c r="C6" i="12"/>
  <c r="E4" i="12"/>
  <c r="C4" i="12"/>
  <c r="Y30" i="11" l="1"/>
  <c r="Y27" i="11"/>
  <c r="Y26" i="11"/>
  <c r="Y25" i="11"/>
  <c r="Y24" i="11"/>
  <c r="Y22" i="11"/>
  <c r="Y21" i="11"/>
  <c r="S30" i="11"/>
  <c r="S27" i="11"/>
  <c r="S26" i="11"/>
  <c r="S25" i="11"/>
  <c r="S24" i="11"/>
  <c r="S22" i="11"/>
  <c r="S21" i="11"/>
  <c r="M30" i="11"/>
  <c r="M27" i="11"/>
  <c r="M26" i="11"/>
  <c r="M25" i="11"/>
  <c r="M24" i="11"/>
  <c r="M22" i="11"/>
  <c r="M21" i="11"/>
  <c r="G30" i="11"/>
  <c r="G27" i="11"/>
  <c r="G26" i="11"/>
  <c r="G25" i="11"/>
  <c r="G24" i="11"/>
  <c r="G23" i="11"/>
  <c r="G22" i="11"/>
  <c r="G21" i="11"/>
  <c r="Y13" i="11"/>
  <c r="Y10" i="11"/>
  <c r="Y9" i="11"/>
  <c r="Y8" i="11"/>
  <c r="Y7" i="11"/>
  <c r="Y5" i="11"/>
  <c r="Y4" i="11"/>
  <c r="S13" i="11"/>
  <c r="S10" i="11"/>
  <c r="S9" i="11"/>
  <c r="S8" i="11"/>
  <c r="S7" i="11"/>
  <c r="S5" i="11"/>
  <c r="S4" i="11"/>
  <c r="M13" i="11"/>
  <c r="M10" i="11"/>
  <c r="M9" i="11"/>
  <c r="M8" i="11"/>
  <c r="M7" i="11"/>
  <c r="M5" i="11"/>
  <c r="M4" i="11"/>
  <c r="G13" i="11"/>
  <c r="G10" i="11"/>
  <c r="G9" i="11"/>
  <c r="G8" i="11"/>
  <c r="G7" i="11"/>
  <c r="G6" i="11"/>
  <c r="G5" i="11"/>
  <c r="G4" i="11"/>
  <c r="W30" i="11" l="1"/>
  <c r="U27" i="11"/>
  <c r="W26" i="11"/>
  <c r="U26" i="11"/>
  <c r="W25" i="11"/>
  <c r="U25" i="11"/>
  <c r="W24" i="11"/>
  <c r="W21" i="11"/>
  <c r="U21" i="11"/>
  <c r="Q30" i="11"/>
  <c r="O30" i="11"/>
  <c r="Q27" i="11"/>
  <c r="O27" i="11"/>
  <c r="Q26" i="11"/>
  <c r="O26" i="11"/>
  <c r="Q25" i="11"/>
  <c r="O25" i="11"/>
  <c r="Q24" i="11"/>
  <c r="O24" i="11"/>
  <c r="Q22" i="11"/>
  <c r="O22" i="11"/>
  <c r="Q21" i="11"/>
  <c r="O21" i="11"/>
  <c r="K30" i="11"/>
  <c r="I30" i="11"/>
  <c r="I27" i="11"/>
  <c r="K26" i="11"/>
  <c r="I26" i="11"/>
  <c r="K25" i="11"/>
  <c r="I25" i="11"/>
  <c r="K24" i="11"/>
  <c r="I24" i="11"/>
  <c r="I23" i="11"/>
  <c r="I22" i="11"/>
  <c r="K21" i="11"/>
  <c r="I21" i="11"/>
  <c r="E30" i="11"/>
  <c r="C30" i="11"/>
  <c r="E27" i="11"/>
  <c r="C27" i="11"/>
  <c r="E26" i="11"/>
  <c r="C26" i="11"/>
  <c r="E25" i="11"/>
  <c r="C25" i="11"/>
  <c r="E24" i="11"/>
  <c r="C24" i="11"/>
  <c r="E23" i="11"/>
  <c r="C23" i="11"/>
  <c r="E22" i="11"/>
  <c r="C22" i="11"/>
  <c r="E21" i="11"/>
  <c r="C21" i="11"/>
  <c r="W13" i="11"/>
  <c r="U10" i="11"/>
  <c r="W9" i="11"/>
  <c r="U9" i="11"/>
  <c r="W8" i="11"/>
  <c r="U8" i="11"/>
  <c r="W7" i="11"/>
  <c r="W4" i="11"/>
  <c r="U4" i="11"/>
  <c r="Q13" i="11"/>
  <c r="O13" i="11"/>
  <c r="Q10" i="11"/>
  <c r="O10" i="11"/>
  <c r="Q9" i="11"/>
  <c r="O9" i="11"/>
  <c r="Q8" i="11"/>
  <c r="O8" i="11"/>
  <c r="Q7" i="11"/>
  <c r="O7" i="11"/>
  <c r="Q5" i="11"/>
  <c r="O5" i="11"/>
  <c r="Q4" i="11"/>
  <c r="O4" i="11"/>
  <c r="K13" i="11"/>
  <c r="I13" i="11"/>
  <c r="I10" i="11"/>
  <c r="K9" i="11"/>
  <c r="I9" i="11"/>
  <c r="K8" i="11"/>
  <c r="I8" i="11"/>
  <c r="K7" i="11"/>
  <c r="I7" i="11"/>
  <c r="I6" i="11"/>
  <c r="I5" i="11"/>
  <c r="K4" i="11"/>
  <c r="I4" i="11"/>
  <c r="E13" i="11"/>
  <c r="C13" i="11"/>
  <c r="E10" i="11"/>
  <c r="C10" i="11"/>
  <c r="E9" i="11"/>
  <c r="C9" i="11"/>
  <c r="E8" i="11"/>
  <c r="C8" i="11"/>
  <c r="E7" i="11"/>
  <c r="C7" i="11"/>
  <c r="E6" i="11"/>
  <c r="C6" i="11"/>
  <c r="E5" i="11"/>
  <c r="C5" i="11"/>
  <c r="E4" i="11"/>
  <c r="C4" i="11"/>
  <c r="E30" i="9" l="1"/>
  <c r="E27" i="9"/>
  <c r="E26" i="9"/>
  <c r="E25" i="9"/>
  <c r="E24" i="9"/>
  <c r="E23" i="9"/>
  <c r="E22" i="9"/>
  <c r="E21" i="9"/>
  <c r="K30" i="9"/>
  <c r="K26" i="9"/>
  <c r="K25" i="9"/>
  <c r="K24" i="9"/>
  <c r="K21" i="9"/>
  <c r="Q30" i="9"/>
  <c r="Q27" i="9"/>
  <c r="Q26" i="9"/>
  <c r="Q25" i="9"/>
  <c r="Q24" i="9"/>
  <c r="Q22" i="9"/>
  <c r="Q21" i="9"/>
  <c r="W30" i="9"/>
  <c r="W26" i="9"/>
  <c r="W25" i="9"/>
  <c r="W24" i="9"/>
  <c r="W21" i="9"/>
  <c r="W13" i="9"/>
  <c r="W9" i="9"/>
  <c r="W8" i="9"/>
  <c r="W7" i="9"/>
  <c r="W4" i="9"/>
  <c r="Q13" i="9"/>
  <c r="Q10" i="9"/>
  <c r="Q9" i="9"/>
  <c r="Q8" i="9"/>
  <c r="Q7" i="9"/>
  <c r="Q5" i="9"/>
  <c r="Q4" i="9"/>
  <c r="K13" i="9"/>
  <c r="K9" i="9"/>
  <c r="K8" i="9"/>
  <c r="K7" i="9"/>
  <c r="K4" i="9"/>
  <c r="E13" i="9"/>
  <c r="E10" i="9"/>
  <c r="E9" i="9"/>
  <c r="E8" i="9"/>
  <c r="E7" i="9"/>
  <c r="E6" i="9"/>
  <c r="E5" i="9"/>
  <c r="E4" i="9"/>
  <c r="Y30" i="9" l="1"/>
  <c r="U30" i="9"/>
  <c r="S30" i="9"/>
  <c r="O30" i="9"/>
  <c r="M30" i="9"/>
  <c r="I30" i="9"/>
  <c r="G30" i="9"/>
  <c r="C30" i="9"/>
  <c r="Y27" i="9"/>
  <c r="U27" i="9"/>
  <c r="S27" i="9"/>
  <c r="O27" i="9"/>
  <c r="M27" i="9"/>
  <c r="I27" i="9"/>
  <c r="G27" i="9"/>
  <c r="C27" i="9"/>
  <c r="Y26" i="9"/>
  <c r="U26" i="9"/>
  <c r="S26" i="9"/>
  <c r="O26" i="9"/>
  <c r="M26" i="9"/>
  <c r="I26" i="9"/>
  <c r="G26" i="9"/>
  <c r="C26" i="9"/>
  <c r="Y25" i="9"/>
  <c r="U25" i="9"/>
  <c r="S25" i="9"/>
  <c r="O25" i="9"/>
  <c r="M25" i="9"/>
  <c r="I25" i="9"/>
  <c r="G25" i="9"/>
  <c r="C25" i="9"/>
  <c r="Y24" i="9"/>
  <c r="U24" i="9"/>
  <c r="S24" i="9"/>
  <c r="O24" i="9"/>
  <c r="M24" i="9"/>
  <c r="I24" i="9"/>
  <c r="G24" i="9"/>
  <c r="C24" i="9"/>
  <c r="I23" i="9"/>
  <c r="G23" i="9"/>
  <c r="C23" i="9"/>
  <c r="U22" i="9"/>
  <c r="S22" i="9"/>
  <c r="O22" i="9"/>
  <c r="M22" i="9"/>
  <c r="I22" i="9"/>
  <c r="G22" i="9"/>
  <c r="C22" i="9"/>
  <c r="Y21" i="9"/>
  <c r="U21" i="9"/>
  <c r="S21" i="9"/>
  <c r="O21" i="9"/>
  <c r="M21" i="9"/>
  <c r="I21" i="9"/>
  <c r="G21" i="9"/>
  <c r="C21" i="9"/>
  <c r="Y13" i="9"/>
  <c r="U13" i="9"/>
  <c r="S13" i="9"/>
  <c r="O13" i="9"/>
  <c r="M13" i="9"/>
  <c r="I13" i="9"/>
  <c r="G13" i="9"/>
  <c r="C13" i="9"/>
  <c r="Y10" i="9"/>
  <c r="U10" i="9"/>
  <c r="S10" i="9"/>
  <c r="O10" i="9"/>
  <c r="M10" i="9"/>
  <c r="I10" i="9"/>
  <c r="G10" i="9"/>
  <c r="C10" i="9"/>
  <c r="Y9" i="9"/>
  <c r="U9" i="9"/>
  <c r="S9" i="9"/>
  <c r="O9" i="9"/>
  <c r="M9" i="9"/>
  <c r="I9" i="9"/>
  <c r="G9" i="9"/>
  <c r="C9" i="9"/>
  <c r="Y8" i="9"/>
  <c r="U8" i="9"/>
  <c r="S8" i="9"/>
  <c r="O8" i="9"/>
  <c r="M8" i="9"/>
  <c r="I8" i="9"/>
  <c r="G8" i="9"/>
  <c r="C8" i="9"/>
  <c r="Y7" i="9"/>
  <c r="U7" i="9"/>
  <c r="S7" i="9"/>
  <c r="O7" i="9"/>
  <c r="M7" i="9"/>
  <c r="I7" i="9"/>
  <c r="G7" i="9"/>
  <c r="C7" i="9"/>
  <c r="I6" i="9"/>
  <c r="G6" i="9"/>
  <c r="C6" i="9"/>
  <c r="Y5" i="9"/>
  <c r="U5" i="9"/>
  <c r="S5" i="9"/>
  <c r="O5" i="9"/>
  <c r="M5" i="9"/>
  <c r="I5" i="9"/>
  <c r="G5" i="9"/>
  <c r="C5" i="9"/>
  <c r="Y4" i="9"/>
  <c r="U4" i="9"/>
  <c r="S4" i="9"/>
  <c r="O4" i="9"/>
  <c r="M4" i="9"/>
  <c r="I4" i="9"/>
  <c r="G4" i="9"/>
  <c r="C4" i="9"/>
</calcChain>
</file>

<file path=xl/sharedStrings.xml><?xml version="1.0" encoding="utf-8"?>
<sst xmlns="http://schemas.openxmlformats.org/spreadsheetml/2006/main" count="1699" uniqueCount="347">
  <si>
    <t>Species evaluation - every adduct is counted independently</t>
  </si>
  <si>
    <t>LDA MS1 identified</t>
  </si>
  <si>
    <t>LB-10 MS1 identified</t>
  </si>
  <si>
    <t>LDA MS1 PPV</t>
  </si>
  <si>
    <t>LB-10 MS1 PPV</t>
  </si>
  <si>
    <t>LDA MS2 identified</t>
  </si>
  <si>
    <t>LB-10 MS2 identified</t>
  </si>
  <si>
    <t>LDA MS2 PPV</t>
  </si>
  <si>
    <t>LB-10 MS2 PPV</t>
  </si>
  <si>
    <t>no MS/MS</t>
  </si>
  <si>
    <t>P-PE</t>
  </si>
  <si>
    <t>5/6</t>
  </si>
  <si>
    <t>5/5</t>
  </si>
  <si>
    <t>NA</t>
  </si>
  <si>
    <t>LPE</t>
  </si>
  <si>
    <t>1/1</t>
  </si>
  <si>
    <t>0/1</t>
  </si>
  <si>
    <t>PS</t>
  </si>
  <si>
    <t>PC</t>
  </si>
  <si>
    <t>27/27</t>
  </si>
  <si>
    <t>11/20</t>
  </si>
  <si>
    <t>15/16</t>
  </si>
  <si>
    <t>PE</t>
  </si>
  <si>
    <t>8/8</t>
  </si>
  <si>
    <t>7/8</t>
  </si>
  <si>
    <t>7/9</t>
  </si>
  <si>
    <t>6/7</t>
  </si>
  <si>
    <t>6/6</t>
  </si>
  <si>
    <t>9/9</t>
  </si>
  <si>
    <t>3/7</t>
  </si>
  <si>
    <t>Total</t>
  </si>
  <si>
    <t>21/22</t>
  </si>
  <si>
    <t>Species evaluation - adduct insensitive</t>
  </si>
  <si>
    <t>20/20</t>
  </si>
  <si>
    <t>10/14</t>
  </si>
  <si>
    <t>7/7</t>
  </si>
  <si>
    <t>6/8</t>
  </si>
  <si>
    <t>34/36</t>
  </si>
  <si>
    <t>51/71</t>
  </si>
  <si>
    <t>18/20</t>
  </si>
  <si>
    <t>18/19</t>
  </si>
  <si>
    <t>LB-450 MS1 identified</t>
  </si>
  <si>
    <t>LB-450 MS1 PPV</t>
  </si>
  <si>
    <t>LB-450 MS2 identified</t>
  </si>
  <si>
    <t>LB-450 MS2 PPV</t>
  </si>
  <si>
    <t>0/7</t>
  </si>
  <si>
    <t>3/3</t>
  </si>
  <si>
    <t>15/15</t>
  </si>
  <si>
    <t>18/18</t>
  </si>
  <si>
    <t>4/4</t>
  </si>
  <si>
    <t>4/7</t>
  </si>
  <si>
    <t>5/8</t>
  </si>
  <si>
    <t>2/2</t>
  </si>
  <si>
    <t>13/20</t>
  </si>
  <si>
    <t>13/13</t>
  </si>
  <si>
    <t>22/22</t>
  </si>
  <si>
    <t>21/23</t>
  </si>
  <si>
    <t>16/16</t>
  </si>
  <si>
    <t>4/20</t>
  </si>
  <si>
    <t>2/6</t>
  </si>
  <si>
    <t>21/21</t>
  </si>
  <si>
    <t>5/7</t>
  </si>
  <si>
    <t>6/9</t>
  </si>
  <si>
    <t>1/8</t>
  </si>
  <si>
    <t>8/9</t>
  </si>
  <si>
    <t>20/52</t>
  </si>
  <si>
    <t>17/18</t>
  </si>
  <si>
    <t>17/17</t>
  </si>
  <si>
    <t>4/5</t>
  </si>
  <si>
    <t>37/40</t>
  </si>
  <si>
    <t>1/6</t>
  </si>
  <si>
    <t>16/24</t>
  </si>
  <si>
    <t>26/27</t>
  </si>
  <si>
    <t>19/19</t>
  </si>
  <si>
    <t>0/3</t>
  </si>
  <si>
    <t>12/23</t>
  </si>
  <si>
    <t>14/27</t>
  </si>
  <si>
    <t>8/10</t>
  </si>
  <si>
    <t>6/18</t>
  </si>
  <si>
    <t>45/48</t>
  </si>
  <si>
    <t>2/8</t>
  </si>
  <si>
    <t>2/7</t>
  </si>
  <si>
    <t>22/25</t>
  </si>
  <si>
    <t>23/23</t>
  </si>
  <si>
    <t>14/20</t>
  </si>
  <si>
    <t>35/38</t>
  </si>
  <si>
    <t>41/42</t>
  </si>
  <si>
    <t>17/20</t>
  </si>
  <si>
    <t>1/2</t>
  </si>
  <si>
    <t>18/35</t>
  </si>
  <si>
    <t>1/7</t>
  </si>
  <si>
    <t>42/43</t>
  </si>
  <si>
    <t>19/51</t>
  </si>
  <si>
    <t>20/23</t>
  </si>
  <si>
    <t>52/54</t>
  </si>
  <si>
    <t>14/14</t>
  </si>
  <si>
    <t>39/43</t>
  </si>
  <si>
    <t>3/8</t>
  </si>
  <si>
    <t>22/46</t>
  </si>
  <si>
    <t>18/30</t>
  </si>
  <si>
    <t>0/9</t>
  </si>
  <si>
    <t>28/30</t>
  </si>
  <si>
    <t>3/4</t>
  </si>
  <si>
    <t>22/24</t>
  </si>
  <si>
    <t>35/40</t>
  </si>
  <si>
    <t>34/40</t>
  </si>
  <si>
    <t>PI</t>
  </si>
  <si>
    <t>PG</t>
  </si>
  <si>
    <t>Cer</t>
  </si>
  <si>
    <t>7/10</t>
  </si>
  <si>
    <t>2/3</t>
  </si>
  <si>
    <t>23/27</t>
  </si>
  <si>
    <t>25/27</t>
  </si>
  <si>
    <t>25/38</t>
  </si>
  <si>
    <t>27/32</t>
  </si>
  <si>
    <t>28/32</t>
  </si>
  <si>
    <t>28/48</t>
  </si>
  <si>
    <t>13/14</t>
  </si>
  <si>
    <t>10/18</t>
  </si>
  <si>
    <t>16/18</t>
  </si>
  <si>
    <t>12/18</t>
  </si>
  <si>
    <t>16/17</t>
  </si>
  <si>
    <t>12/20</t>
  </si>
  <si>
    <t>2/10</t>
  </si>
  <si>
    <t>51/59</t>
  </si>
  <si>
    <t>49/59</t>
  </si>
  <si>
    <t>51/53</t>
  </si>
  <si>
    <t>49/83</t>
  </si>
  <si>
    <t>52/64</t>
  </si>
  <si>
    <t>54/64</t>
  </si>
  <si>
    <t>54/95</t>
  </si>
  <si>
    <t>14/16</t>
  </si>
  <si>
    <t>15/24</t>
  </si>
  <si>
    <t>42/48</t>
  </si>
  <si>
    <t>39/48</t>
  </si>
  <si>
    <t>42/44</t>
  </si>
  <si>
    <t>39/69</t>
  </si>
  <si>
    <t>42/52</t>
  </si>
  <si>
    <t>44/52</t>
  </si>
  <si>
    <t>44/82</t>
  </si>
  <si>
    <t>0/2</t>
  </si>
  <si>
    <t>13/27</t>
  </si>
  <si>
    <t>5/14</t>
  </si>
  <si>
    <t>21/59</t>
  </si>
  <si>
    <t>13/15</t>
  </si>
  <si>
    <t>21/24</t>
  </si>
  <si>
    <t>13/32</t>
  </si>
  <si>
    <t>22/64</t>
  </si>
  <si>
    <t>11/13</t>
  </si>
  <si>
    <t>19/22</t>
  </si>
  <si>
    <t>11/16</t>
  </si>
  <si>
    <t>19/48</t>
  </si>
  <si>
    <t>22/23</t>
  </si>
  <si>
    <t>9/13</t>
  </si>
  <si>
    <t>2/13</t>
  </si>
  <si>
    <t>42/49</t>
  </si>
  <si>
    <t>18/49</t>
  </si>
  <si>
    <t>12/12</t>
  </si>
  <si>
    <t>10/17</t>
  </si>
  <si>
    <t>2/17</t>
  </si>
  <si>
    <t>43/55</t>
  </si>
  <si>
    <t>19/55</t>
  </si>
  <si>
    <t>25/28</t>
  </si>
  <si>
    <t>10/11</t>
  </si>
  <si>
    <t>44/48</t>
  </si>
  <si>
    <t>9/14</t>
  </si>
  <si>
    <t>33/40</t>
  </si>
  <si>
    <t>15/40</t>
  </si>
  <si>
    <t>15/17</t>
  </si>
  <si>
    <t>33/45</t>
  </si>
  <si>
    <t>16/45</t>
  </si>
  <si>
    <t>10/10</t>
  </si>
  <si>
    <t>6/10</t>
  </si>
  <si>
    <t>21/30</t>
  </si>
  <si>
    <t>11/19</t>
  </si>
  <si>
    <t>42/68</t>
  </si>
  <si>
    <t>14/17</t>
  </si>
  <si>
    <t>50/55</t>
  </si>
  <si>
    <t>7/11</t>
  </si>
  <si>
    <t>25/36</t>
  </si>
  <si>
    <t>14/22</t>
  </si>
  <si>
    <t>50/78</t>
  </si>
  <si>
    <t>13/19</t>
  </si>
  <si>
    <t>34/57</t>
  </si>
  <si>
    <t>41/45</t>
  </si>
  <si>
    <t>41/66</t>
  </si>
  <si>
    <t>24/26</t>
  </si>
  <si>
    <t>4/16</t>
  </si>
  <si>
    <t>55/59</t>
  </si>
  <si>
    <t>24/25</t>
  </si>
  <si>
    <t>55/58</t>
  </si>
  <si>
    <t>28/31</t>
  </si>
  <si>
    <t>14/31</t>
  </si>
  <si>
    <t>5/18</t>
  </si>
  <si>
    <t>56/63</t>
  </si>
  <si>
    <t>22/63</t>
  </si>
  <si>
    <t>56/61</t>
  </si>
  <si>
    <t>17/19</t>
  </si>
  <si>
    <t>11/11</t>
  </si>
  <si>
    <t>45/50</t>
  </si>
  <si>
    <t>14/15</t>
  </si>
  <si>
    <t>11/15</t>
  </si>
  <si>
    <t>18/48</t>
  </si>
  <si>
    <t>45/51</t>
  </si>
  <si>
    <t>26/26</t>
  </si>
  <si>
    <t>12/16</t>
  </si>
  <si>
    <t>26/37</t>
  </si>
  <si>
    <t>12/19</t>
  </si>
  <si>
    <t>49/77</t>
  </si>
  <si>
    <t>29/31</t>
  </si>
  <si>
    <t>13/18</t>
  </si>
  <si>
    <t>53/63</t>
  </si>
  <si>
    <t>29/45</t>
  </si>
  <si>
    <t>2/11</t>
  </si>
  <si>
    <t>53/88</t>
  </si>
  <si>
    <t>42/73</t>
  </si>
  <si>
    <t>42/51</t>
  </si>
  <si>
    <t>15/21</t>
  </si>
  <si>
    <t>38/61</t>
  </si>
  <si>
    <t>20/22</t>
  </si>
  <si>
    <t>12/22</t>
  </si>
  <si>
    <t>2/5</t>
  </si>
  <si>
    <t>47/58</t>
  </si>
  <si>
    <t>22/58</t>
  </si>
  <si>
    <t>47/50</t>
  </si>
  <si>
    <t>13/17</t>
  </si>
  <si>
    <t>11/17</t>
  </si>
  <si>
    <t>37/48</t>
  </si>
  <si>
    <t>35/39</t>
  </si>
  <si>
    <t>35/43</t>
  </si>
  <si>
    <t>17/43</t>
  </si>
  <si>
    <t>22/35</t>
  </si>
  <si>
    <t>1/9</t>
  </si>
  <si>
    <t>51/81</t>
  </si>
  <si>
    <t>5/9</t>
  </si>
  <si>
    <t>26/46</t>
  </si>
  <si>
    <t>18/24</t>
  </si>
  <si>
    <t>55/93</t>
  </si>
  <si>
    <t>17/32</t>
  </si>
  <si>
    <t>46/79</t>
  </si>
  <si>
    <t>46/48</t>
  </si>
  <si>
    <t>13/21</t>
  </si>
  <si>
    <t>42/67</t>
  </si>
  <si>
    <t>5/16</t>
  </si>
  <si>
    <t>47/55</t>
  </si>
  <si>
    <t>25/55</t>
  </si>
  <si>
    <t>1/4</t>
  </si>
  <si>
    <t>47/51</t>
  </si>
  <si>
    <t>25/26</t>
  </si>
  <si>
    <t>25/30</t>
  </si>
  <si>
    <t>15/30</t>
  </si>
  <si>
    <t>5/21</t>
  </si>
  <si>
    <t>49/65</t>
  </si>
  <si>
    <t>25/65</t>
  </si>
  <si>
    <t>49/56</t>
  </si>
  <si>
    <t>39/46</t>
  </si>
  <si>
    <t>15/19</t>
  </si>
  <si>
    <t>39/54</t>
  </si>
  <si>
    <t>22/54</t>
  </si>
  <si>
    <t>51/55</t>
  </si>
  <si>
    <t>22/29</t>
  </si>
  <si>
    <t>51/73</t>
  </si>
  <si>
    <t>29/30</t>
  </si>
  <si>
    <t>17/21</t>
  </si>
  <si>
    <t>60/65</t>
  </si>
  <si>
    <t>29/38</t>
  </si>
  <si>
    <t>17/23</t>
  </si>
  <si>
    <t>60/85</t>
  </si>
  <si>
    <t>17/22</t>
  </si>
  <si>
    <t>48/69</t>
  </si>
  <si>
    <t>48/54</t>
  </si>
  <si>
    <t>13/16</t>
  </si>
  <si>
    <t>42/61</t>
  </si>
  <si>
    <t>42/46</t>
  </si>
  <si>
    <t>10/40</t>
  </si>
  <si>
    <t>33/46</t>
  </si>
  <si>
    <t>3/6</t>
  </si>
  <si>
    <t>110/120</t>
  </si>
  <si>
    <t>116/120</t>
  </si>
  <si>
    <t>110/113</t>
  </si>
  <si>
    <t>65/67</t>
  </si>
  <si>
    <t>116/169</t>
  </si>
  <si>
    <t>66/75</t>
  </si>
  <si>
    <t>20/75</t>
  </si>
  <si>
    <t>62/75</t>
  </si>
  <si>
    <t>66/68</t>
  </si>
  <si>
    <t>62/97</t>
  </si>
  <si>
    <t>8/46</t>
  </si>
  <si>
    <t>239/274</t>
  </si>
  <si>
    <t>107/111</t>
  </si>
  <si>
    <t>242/383</t>
  </si>
  <si>
    <t>65/71</t>
  </si>
  <si>
    <t>69/101</t>
  </si>
  <si>
    <t>194/225</t>
  </si>
  <si>
    <t>91/225</t>
  </si>
  <si>
    <t>91/95</t>
  </si>
  <si>
    <t>195/315</t>
  </si>
  <si>
    <t>28/36</t>
  </si>
  <si>
    <t>10/36</t>
  </si>
  <si>
    <t>33/36</t>
  </si>
  <si>
    <t>28/29</t>
  </si>
  <si>
    <t>33/48</t>
  </si>
  <si>
    <t>8/13</t>
  </si>
  <si>
    <t>128/147</t>
  </si>
  <si>
    <t>69/147</t>
  </si>
  <si>
    <t>137/147</t>
  </si>
  <si>
    <t>69/71</t>
  </si>
  <si>
    <t>137/213</t>
  </si>
  <si>
    <t>75/94</t>
  </si>
  <si>
    <t>22/94</t>
  </si>
  <si>
    <t>74/94</t>
  </si>
  <si>
    <t>75/80</t>
  </si>
  <si>
    <t>74/109</t>
  </si>
  <si>
    <t>0/8</t>
  </si>
  <si>
    <t>8/47</t>
  </si>
  <si>
    <t>247/305</t>
  </si>
  <si>
    <t>110/305</t>
  </si>
  <si>
    <t>272/305</t>
  </si>
  <si>
    <t>110/114</t>
  </si>
  <si>
    <t>272/439</t>
  </si>
  <si>
    <t>77/92</t>
  </si>
  <si>
    <t>55/92</t>
  </si>
  <si>
    <t>86/92</t>
  </si>
  <si>
    <t>77/83</t>
  </si>
  <si>
    <t>55/57</t>
  </si>
  <si>
    <t>86/143</t>
  </si>
  <si>
    <t>196/250</t>
  </si>
  <si>
    <t>96/250</t>
  </si>
  <si>
    <t>221/250</t>
  </si>
  <si>
    <t>96/100</t>
  </si>
  <si>
    <t>221/369</t>
  </si>
  <si>
    <t>38/48</t>
  </si>
  <si>
    <t>2/9</t>
  </si>
  <si>
    <t>242/274</t>
  </si>
  <si>
    <t>14/26</t>
  </si>
  <si>
    <t>65/120</t>
  </si>
  <si>
    <t>105/274</t>
  </si>
  <si>
    <t>42/45</t>
  </si>
  <si>
    <t>9/10</t>
  </si>
  <si>
    <t>239/255</t>
  </si>
  <si>
    <t>194/209</t>
  </si>
  <si>
    <t>195/225</t>
  </si>
  <si>
    <t>43/47</t>
  </si>
  <si>
    <t>8/14</t>
  </si>
  <si>
    <t>196/216</t>
  </si>
  <si>
    <t>128/135</t>
  </si>
  <si>
    <t>247/268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</si>
</sst>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Arial"/>
      <family val="2"/>
    </font>
    <font>
      <sz val="11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0" fontId="5" fillId="0" borderId="0"/>
  </cellStyleXfs>
  <cellXfs count="17">
    <xf numFmtId="0" fontId="0" fillId="0" borderId="0" xfId="0"/>
    <xf numFmtId="0" fontId="3" fillId="0" borderId="0" xfId="1" applyFont="1"/>
    <xf numFmtId="49" fontId="3" fillId="0" borderId="0" xfId="0" applyNumberFormat="1" applyFont="1" applyAlignment="1">
      <alignment horizontal="center"/>
    </xf>
    <xf numFmtId="9" fontId="3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9" fontId="2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0" fontId="6" fillId="0" borderId="0" xfId="0" applyFont="1"/>
    <xf numFmtId="49" fontId="3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0" xfId="0" applyFont="1" applyAlignment="1">
      <alignment horizontal="left"/>
    </xf>
    <xf numFmtId="0" fontId="4" fillId="0" borderId="0" xfId="1" applyFont="1" applyAlignment="1">
      <alignment horizontal="center"/>
    </xf>
    <xf numFmtId="0" fontId="4" fillId="0" borderId="0" xfId="0" applyFont="1" applyAlignment="1">
      <alignment horizontal="center"/>
    </xf>
  </cellXfs>
  <cellStyles count="4">
    <cellStyle name="Normal 2" xfId="3"/>
    <cellStyle name="Standard" xfId="0" builtinId="0"/>
    <cellStyle name="Standard 2" xfId="1"/>
    <cellStyle name="Standard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0"/>
  <sheetViews>
    <sheetView tabSelected="1" workbookViewId="0">
      <selection activeCell="G30" sqref="G30"/>
    </sheetView>
  </sheetViews>
  <sheetFormatPr baseColWidth="10" defaultColWidth="9.140625" defaultRowHeight="15" x14ac:dyDescent="0.25"/>
  <cols>
    <col min="1" max="1" width="17.42578125" style="1" customWidth="1"/>
    <col min="2" max="22" width="12.85546875" style="1" customWidth="1"/>
    <col min="23" max="23" width="13" style="1" customWidth="1"/>
    <col min="24" max="24" width="12.85546875" style="1" customWidth="1"/>
    <col min="25" max="25" width="13" style="1" customWidth="1"/>
    <col min="26" max="16384" width="9.140625" style="1"/>
  </cols>
  <sheetData>
    <row r="1" spans="1:25" customFormat="1" ht="18.75" x14ac:dyDescent="0.3">
      <c r="A1" s="7" t="s">
        <v>0</v>
      </c>
    </row>
    <row r="2" spans="1:25" customFormat="1" ht="15.75" x14ac:dyDescent="0.25">
      <c r="A2" s="6"/>
    </row>
    <row r="3" spans="1:25" customFormat="1" ht="15.75" x14ac:dyDescent="0.25">
      <c r="B3" s="15" t="s">
        <v>1</v>
      </c>
      <c r="C3" s="15"/>
      <c r="D3" s="16" t="s">
        <v>41</v>
      </c>
      <c r="E3" s="16"/>
      <c r="F3" s="15" t="s">
        <v>2</v>
      </c>
      <c r="G3" s="15"/>
      <c r="H3" s="15" t="s">
        <v>3</v>
      </c>
      <c r="I3" s="15"/>
      <c r="J3" s="15" t="s">
        <v>42</v>
      </c>
      <c r="K3" s="15"/>
      <c r="L3" s="15" t="s">
        <v>4</v>
      </c>
      <c r="M3" s="15"/>
      <c r="N3" s="15" t="s">
        <v>5</v>
      </c>
      <c r="O3" s="15"/>
      <c r="P3" s="15" t="s">
        <v>43</v>
      </c>
      <c r="Q3" s="15"/>
      <c r="R3" s="15" t="s">
        <v>6</v>
      </c>
      <c r="S3" s="15"/>
      <c r="T3" s="15" t="s">
        <v>7</v>
      </c>
      <c r="U3" s="15"/>
      <c r="V3" s="15" t="s">
        <v>44</v>
      </c>
      <c r="W3" s="15"/>
      <c r="X3" s="15" t="s">
        <v>8</v>
      </c>
      <c r="Y3" s="15"/>
    </row>
    <row r="4" spans="1:25" customFormat="1" ht="15.75" x14ac:dyDescent="0.25">
      <c r="A4" s="6" t="s">
        <v>106</v>
      </c>
      <c r="B4" s="2" t="s">
        <v>104</v>
      </c>
      <c r="C4" s="3">
        <v>0.875</v>
      </c>
      <c r="D4" s="2" t="s">
        <v>274</v>
      </c>
      <c r="E4" s="3">
        <v>0.25</v>
      </c>
      <c r="F4" s="2" t="s">
        <v>166</v>
      </c>
      <c r="G4" s="3">
        <v>0.82499999999999996</v>
      </c>
      <c r="H4" s="2" t="s">
        <v>85</v>
      </c>
      <c r="I4" s="3">
        <v>0.92105263157894735</v>
      </c>
      <c r="J4" s="2" t="s">
        <v>171</v>
      </c>
      <c r="K4" s="3">
        <v>1</v>
      </c>
      <c r="L4" s="2" t="s">
        <v>275</v>
      </c>
      <c r="M4" s="3">
        <v>0.71739130434782605</v>
      </c>
      <c r="N4" s="2" t="s">
        <v>297</v>
      </c>
      <c r="O4" s="3">
        <v>0.77777777777777779</v>
      </c>
      <c r="P4" s="2" t="s">
        <v>298</v>
      </c>
      <c r="Q4" s="3">
        <v>0.27777777777777779</v>
      </c>
      <c r="R4" s="2" t="s">
        <v>299</v>
      </c>
      <c r="S4" s="3">
        <v>0.91666666666666663</v>
      </c>
      <c r="T4" s="2" t="s">
        <v>300</v>
      </c>
      <c r="U4" s="3">
        <v>0.96551724137931039</v>
      </c>
      <c r="V4" s="2" t="s">
        <v>171</v>
      </c>
      <c r="W4" s="3">
        <v>1</v>
      </c>
      <c r="X4" s="2" t="s">
        <v>301</v>
      </c>
      <c r="Y4" s="3">
        <v>0.6875</v>
      </c>
    </row>
    <row r="5" spans="1:25" customFormat="1" ht="15.75" x14ac:dyDescent="0.25">
      <c r="A5" s="6" t="s">
        <v>10</v>
      </c>
      <c r="B5" s="2" t="s">
        <v>29</v>
      </c>
      <c r="C5" s="3">
        <v>0.42857142857142855</v>
      </c>
      <c r="D5" s="2" t="s">
        <v>45</v>
      </c>
      <c r="E5" s="3">
        <v>0</v>
      </c>
      <c r="F5" s="2" t="s">
        <v>35</v>
      </c>
      <c r="G5" s="3">
        <v>1</v>
      </c>
      <c r="H5" s="2" t="s">
        <v>276</v>
      </c>
      <c r="I5" s="3">
        <v>0.5</v>
      </c>
      <c r="J5" s="2" t="s">
        <v>13</v>
      </c>
      <c r="K5" s="3" t="s">
        <v>13</v>
      </c>
      <c r="L5" s="2" t="s">
        <v>24</v>
      </c>
      <c r="M5" s="3">
        <v>0.875</v>
      </c>
      <c r="N5" s="2" t="s">
        <v>29</v>
      </c>
      <c r="O5" s="3">
        <v>0.42857142857142855</v>
      </c>
      <c r="P5" s="2" t="s">
        <v>45</v>
      </c>
      <c r="Q5" s="3">
        <v>0</v>
      </c>
      <c r="R5" s="2" t="s">
        <v>35</v>
      </c>
      <c r="S5" s="3">
        <v>1</v>
      </c>
      <c r="T5" s="2" t="s">
        <v>102</v>
      </c>
      <c r="U5" s="3">
        <v>0.75</v>
      </c>
      <c r="V5" s="2" t="s">
        <v>13</v>
      </c>
      <c r="W5" s="3" t="s">
        <v>13</v>
      </c>
      <c r="X5" s="2" t="s">
        <v>24</v>
      </c>
      <c r="Y5" s="3">
        <v>0.875</v>
      </c>
    </row>
    <row r="6" spans="1:25" customFormat="1" ht="15.75" x14ac:dyDescent="0.25">
      <c r="A6" s="6" t="s">
        <v>14</v>
      </c>
      <c r="B6" s="2" t="s">
        <v>28</v>
      </c>
      <c r="C6" s="3">
        <v>1</v>
      </c>
      <c r="D6" s="2" t="s">
        <v>100</v>
      </c>
      <c r="E6" s="3">
        <v>0</v>
      </c>
      <c r="F6" s="2" t="s">
        <v>332</v>
      </c>
      <c r="G6" s="3">
        <v>0.22222222222222221</v>
      </c>
      <c r="H6" s="2" t="s">
        <v>28</v>
      </c>
      <c r="I6" s="3">
        <v>1</v>
      </c>
      <c r="J6" s="2" t="s">
        <v>13</v>
      </c>
      <c r="K6" s="3" t="s">
        <v>13</v>
      </c>
      <c r="L6" s="2" t="s">
        <v>52</v>
      </c>
      <c r="M6" s="3">
        <v>1</v>
      </c>
      <c r="N6" s="2" t="s">
        <v>13</v>
      </c>
      <c r="O6" s="3" t="s">
        <v>13</v>
      </c>
      <c r="P6" s="2" t="s">
        <v>13</v>
      </c>
      <c r="Q6" s="3" t="s">
        <v>13</v>
      </c>
      <c r="R6" s="2" t="s">
        <v>13</v>
      </c>
      <c r="S6" s="3" t="s">
        <v>13</v>
      </c>
      <c r="T6" s="2" t="s">
        <v>13</v>
      </c>
      <c r="U6" s="3" t="s">
        <v>13</v>
      </c>
      <c r="V6" s="2" t="s">
        <v>13</v>
      </c>
      <c r="W6" s="3" t="s">
        <v>13</v>
      </c>
      <c r="X6" s="2" t="s">
        <v>13</v>
      </c>
      <c r="Y6" s="3" t="s">
        <v>13</v>
      </c>
    </row>
    <row r="7" spans="1:25" customFormat="1" ht="15.75" x14ac:dyDescent="0.25">
      <c r="A7" s="6" t="s">
        <v>17</v>
      </c>
      <c r="B7" s="2" t="s">
        <v>153</v>
      </c>
      <c r="C7" s="3">
        <v>0.69230769230769229</v>
      </c>
      <c r="D7" s="2" t="s">
        <v>153</v>
      </c>
      <c r="E7" s="3">
        <v>0.69230769230769229</v>
      </c>
      <c r="F7" s="2" t="s">
        <v>54</v>
      </c>
      <c r="G7" s="3">
        <v>1</v>
      </c>
      <c r="H7" s="2" t="s">
        <v>338</v>
      </c>
      <c r="I7" s="3">
        <v>0.9</v>
      </c>
      <c r="J7" s="2" t="s">
        <v>28</v>
      </c>
      <c r="K7" s="3">
        <v>1</v>
      </c>
      <c r="L7" s="2" t="s">
        <v>117</v>
      </c>
      <c r="M7" s="3">
        <v>0.9285714285714286</v>
      </c>
      <c r="N7" s="2" t="s">
        <v>302</v>
      </c>
      <c r="O7" s="3">
        <v>0.61538461538461542</v>
      </c>
      <c r="P7" s="2" t="s">
        <v>153</v>
      </c>
      <c r="Q7" s="3">
        <v>0.69230769230769229</v>
      </c>
      <c r="R7" s="2" t="s">
        <v>54</v>
      </c>
      <c r="S7" s="3">
        <v>1</v>
      </c>
      <c r="T7" s="2" t="s">
        <v>343</v>
      </c>
      <c r="U7" s="3">
        <v>0.57140000000000002</v>
      </c>
      <c r="V7" s="2" t="s">
        <v>28</v>
      </c>
      <c r="W7" s="3">
        <v>1</v>
      </c>
      <c r="X7" s="2" t="s">
        <v>117</v>
      </c>
      <c r="Y7" s="3">
        <v>0.9285714285714286</v>
      </c>
    </row>
    <row r="8" spans="1:25" customFormat="1" ht="15.75" x14ac:dyDescent="0.25">
      <c r="A8" s="6" t="s">
        <v>18</v>
      </c>
      <c r="B8" s="2" t="s">
        <v>277</v>
      </c>
      <c r="C8" s="3">
        <v>0.91666666666666663</v>
      </c>
      <c r="D8" s="2" t="s">
        <v>335</v>
      </c>
      <c r="E8" s="3">
        <v>0.54166666666666663</v>
      </c>
      <c r="F8" s="2" t="s">
        <v>278</v>
      </c>
      <c r="G8" s="3">
        <v>0.96666666666666667</v>
      </c>
      <c r="H8" s="2" t="s">
        <v>279</v>
      </c>
      <c r="I8" s="3">
        <v>0.97345132743362828</v>
      </c>
      <c r="J8" s="2" t="s">
        <v>280</v>
      </c>
      <c r="K8" s="3">
        <v>0.97014925373134331</v>
      </c>
      <c r="L8" s="2" t="s">
        <v>281</v>
      </c>
      <c r="M8" s="3">
        <v>0.68639053254437865</v>
      </c>
      <c r="N8" s="2" t="s">
        <v>303</v>
      </c>
      <c r="O8" s="3">
        <v>0.87074829931972786</v>
      </c>
      <c r="P8" s="2" t="s">
        <v>304</v>
      </c>
      <c r="Q8" s="3">
        <v>0.46938775510204084</v>
      </c>
      <c r="R8" s="2" t="s">
        <v>305</v>
      </c>
      <c r="S8" s="3">
        <v>0.93197278911564629</v>
      </c>
      <c r="T8" s="2" t="s">
        <v>345</v>
      </c>
      <c r="U8" s="3">
        <v>0.94810000000000005</v>
      </c>
      <c r="V8" s="2" t="s">
        <v>306</v>
      </c>
      <c r="W8" s="3">
        <v>0.971830985915493</v>
      </c>
      <c r="X8" s="2" t="s">
        <v>307</v>
      </c>
      <c r="Y8" s="3">
        <v>0.64319248826291076</v>
      </c>
    </row>
    <row r="9" spans="1:25" customFormat="1" ht="15.75" x14ac:dyDescent="0.25">
      <c r="A9" s="6" t="s">
        <v>22</v>
      </c>
      <c r="B9" s="2" t="s">
        <v>282</v>
      </c>
      <c r="C9" s="3">
        <v>0.88</v>
      </c>
      <c r="D9" s="2" t="s">
        <v>283</v>
      </c>
      <c r="E9" s="3">
        <v>0.26666666666666666</v>
      </c>
      <c r="F9" s="2" t="s">
        <v>284</v>
      </c>
      <c r="G9" s="3">
        <v>0.82666666666666666</v>
      </c>
      <c r="H9" s="2" t="s">
        <v>285</v>
      </c>
      <c r="I9" s="3">
        <v>0.97058823529411764</v>
      </c>
      <c r="J9" s="2" t="s">
        <v>219</v>
      </c>
      <c r="K9" s="3">
        <v>0.90909090909090906</v>
      </c>
      <c r="L9" s="2" t="s">
        <v>286</v>
      </c>
      <c r="M9" s="3">
        <v>0.63917525773195871</v>
      </c>
      <c r="N9" s="2" t="s">
        <v>308</v>
      </c>
      <c r="O9" s="3">
        <v>0.7978723404255319</v>
      </c>
      <c r="P9" s="2" t="s">
        <v>309</v>
      </c>
      <c r="Q9" s="3">
        <v>0.23404255319148937</v>
      </c>
      <c r="R9" s="2" t="s">
        <v>310</v>
      </c>
      <c r="S9" s="3">
        <v>0.78723404255319152</v>
      </c>
      <c r="T9" s="2" t="s">
        <v>311</v>
      </c>
      <c r="U9" s="3">
        <v>0.9375</v>
      </c>
      <c r="V9" s="2" t="s">
        <v>103</v>
      </c>
      <c r="W9" s="3">
        <v>0.91666666666666663</v>
      </c>
      <c r="X9" s="2" t="s">
        <v>312</v>
      </c>
      <c r="Y9" s="3">
        <v>0.67889908256880738</v>
      </c>
    </row>
    <row r="10" spans="1:25" customFormat="1" ht="15.75" x14ac:dyDescent="0.25">
      <c r="A10" s="6" t="s">
        <v>107</v>
      </c>
      <c r="B10" s="2" t="s">
        <v>51</v>
      </c>
      <c r="C10" s="3">
        <v>0.625</v>
      </c>
      <c r="D10" s="2" t="s">
        <v>63</v>
      </c>
      <c r="E10" s="3">
        <v>0.125</v>
      </c>
      <c r="F10" s="2" t="s">
        <v>23</v>
      </c>
      <c r="G10" s="3">
        <v>1</v>
      </c>
      <c r="H10" s="2" t="s">
        <v>234</v>
      </c>
      <c r="I10" s="3">
        <v>0.55555555555555558</v>
      </c>
      <c r="J10" s="2" t="s">
        <v>15</v>
      </c>
      <c r="K10" s="3">
        <v>1</v>
      </c>
      <c r="L10" s="2" t="s">
        <v>287</v>
      </c>
      <c r="M10" s="3">
        <v>0.17391304347826086</v>
      </c>
      <c r="N10" s="2" t="s">
        <v>51</v>
      </c>
      <c r="O10" s="3">
        <v>0.625</v>
      </c>
      <c r="P10" s="2" t="s">
        <v>313</v>
      </c>
      <c r="Q10" s="3">
        <v>0</v>
      </c>
      <c r="R10" s="2" t="s">
        <v>23</v>
      </c>
      <c r="S10" s="3">
        <v>1</v>
      </c>
      <c r="T10" s="2" t="s">
        <v>11</v>
      </c>
      <c r="U10" s="3">
        <v>0.83333333333333337</v>
      </c>
      <c r="V10" s="2" t="s">
        <v>13</v>
      </c>
      <c r="W10" s="3" t="s">
        <v>13</v>
      </c>
      <c r="X10" s="2" t="s">
        <v>314</v>
      </c>
      <c r="Y10" s="3">
        <v>0.1702127659574468</v>
      </c>
    </row>
    <row r="11" spans="1:25" customFormat="1" ht="15.75" x14ac:dyDescent="0.25">
      <c r="A11" s="6" t="s">
        <v>108</v>
      </c>
      <c r="B11" s="2" t="s">
        <v>52</v>
      </c>
      <c r="C11" s="3">
        <v>1</v>
      </c>
      <c r="D11" s="9" t="s">
        <v>140</v>
      </c>
      <c r="E11" s="3">
        <v>0</v>
      </c>
      <c r="F11" s="2" t="s">
        <v>88</v>
      </c>
      <c r="G11" s="3">
        <v>0.5</v>
      </c>
      <c r="H11" s="2" t="s">
        <v>52</v>
      </c>
      <c r="I11" s="3">
        <v>1</v>
      </c>
      <c r="J11" s="2" t="s">
        <v>13</v>
      </c>
      <c r="K11" s="3" t="s">
        <v>13</v>
      </c>
      <c r="L11" s="2" t="s">
        <v>15</v>
      </c>
      <c r="M11" s="3">
        <v>1</v>
      </c>
      <c r="N11" s="2" t="s">
        <v>13</v>
      </c>
      <c r="O11" s="3" t="s">
        <v>13</v>
      </c>
      <c r="P11" s="2" t="s">
        <v>13</v>
      </c>
      <c r="Q11" s="3" t="s">
        <v>13</v>
      </c>
      <c r="R11" s="2" t="s">
        <v>13</v>
      </c>
      <c r="S11" s="3" t="s">
        <v>13</v>
      </c>
      <c r="T11" s="2" t="s">
        <v>13</v>
      </c>
      <c r="U11" s="3" t="s">
        <v>13</v>
      </c>
      <c r="V11" s="2" t="s">
        <v>13</v>
      </c>
      <c r="W11" s="3" t="s">
        <v>13</v>
      </c>
      <c r="X11" s="2" t="s">
        <v>13</v>
      </c>
      <c r="Y11" s="3" t="s">
        <v>13</v>
      </c>
    </row>
    <row r="12" spans="1:25" customFormat="1" x14ac:dyDescent="0.25">
      <c r="B12" s="2"/>
      <c r="C12" s="9"/>
      <c r="D12" s="10"/>
      <c r="E12" s="10"/>
      <c r="F12" s="10"/>
      <c r="G12" s="10"/>
      <c r="H12" s="9"/>
      <c r="I12" s="9"/>
      <c r="J12" s="10"/>
      <c r="K12" s="10"/>
      <c r="L12" s="10"/>
      <c r="M12" s="10"/>
      <c r="N12" s="9"/>
      <c r="O12" s="9"/>
      <c r="P12" s="10"/>
      <c r="Q12" s="10"/>
      <c r="R12" s="10"/>
      <c r="S12" s="10"/>
      <c r="T12" s="9"/>
      <c r="U12" s="9"/>
      <c r="V12" s="4"/>
      <c r="W12" s="10"/>
      <c r="X12" s="4"/>
      <c r="Y12" s="10"/>
    </row>
    <row r="13" spans="1:25" customFormat="1" ht="15.75" x14ac:dyDescent="0.25">
      <c r="A13" s="6" t="s">
        <v>30</v>
      </c>
      <c r="B13" s="2" t="s">
        <v>288</v>
      </c>
      <c r="C13" s="3">
        <v>0.87226277372262773</v>
      </c>
      <c r="D13" s="2" t="s">
        <v>336</v>
      </c>
      <c r="E13" s="3">
        <v>0.38321167883211676</v>
      </c>
      <c r="F13" s="2" t="s">
        <v>333</v>
      </c>
      <c r="G13" s="3">
        <v>0.88321167883211682</v>
      </c>
      <c r="H13" s="2" t="s">
        <v>339</v>
      </c>
      <c r="I13" s="3">
        <v>0.93720000000000003</v>
      </c>
      <c r="J13" s="2" t="s">
        <v>289</v>
      </c>
      <c r="K13" s="3">
        <v>0.963963963963964</v>
      </c>
      <c r="L13" s="2" t="s">
        <v>290</v>
      </c>
      <c r="M13" s="3">
        <v>0.63185378590078334</v>
      </c>
      <c r="N13" s="2" t="s">
        <v>315</v>
      </c>
      <c r="O13" s="3">
        <v>0.80983606557377052</v>
      </c>
      <c r="P13" s="2" t="s">
        <v>316</v>
      </c>
      <c r="Q13" s="3">
        <v>0.36065573770491804</v>
      </c>
      <c r="R13" s="2" t="s">
        <v>317</v>
      </c>
      <c r="S13" s="3">
        <v>0.8918032786885246</v>
      </c>
      <c r="T13" s="2" t="s">
        <v>346</v>
      </c>
      <c r="U13" s="3">
        <v>0.92100000000000004</v>
      </c>
      <c r="V13" s="2" t="s">
        <v>318</v>
      </c>
      <c r="W13" s="3">
        <v>0.96491228070175439</v>
      </c>
      <c r="X13" s="2" t="s">
        <v>319</v>
      </c>
      <c r="Y13" s="3">
        <v>0.61958997722095677</v>
      </c>
    </row>
    <row r="14" spans="1:25" customFormat="1" x14ac:dyDescent="0.25"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2"/>
      <c r="Y14" s="11"/>
    </row>
    <row r="15" spans="1:25" customFormat="1" x14ac:dyDescent="0.25">
      <c r="X15" s="12"/>
      <c r="Y15" s="11"/>
    </row>
    <row r="16" spans="1:25" customFormat="1" x14ac:dyDescent="0.25">
      <c r="X16" s="12"/>
      <c r="Y16" s="11"/>
    </row>
    <row r="17" spans="1:25" customFormat="1" x14ac:dyDescent="0.25">
      <c r="X17" s="12"/>
      <c r="Y17" s="11"/>
    </row>
    <row r="18" spans="1:25" customFormat="1" ht="18.75" x14ac:dyDescent="0.3">
      <c r="A18" s="7" t="s">
        <v>32</v>
      </c>
      <c r="X18" s="12"/>
      <c r="Y18" s="11"/>
    </row>
    <row r="19" spans="1:25" customFormat="1" x14ac:dyDescent="0.25">
      <c r="X19" s="13"/>
    </row>
    <row r="20" spans="1:25" customFormat="1" ht="15.75" x14ac:dyDescent="0.25">
      <c r="B20" s="15" t="s">
        <v>1</v>
      </c>
      <c r="C20" s="15"/>
      <c r="D20" s="16" t="s">
        <v>41</v>
      </c>
      <c r="E20" s="16"/>
      <c r="F20" s="15" t="s">
        <v>2</v>
      </c>
      <c r="G20" s="15"/>
      <c r="H20" s="15" t="s">
        <v>3</v>
      </c>
      <c r="I20" s="15"/>
      <c r="J20" s="15" t="s">
        <v>42</v>
      </c>
      <c r="K20" s="15"/>
      <c r="L20" s="15" t="s">
        <v>4</v>
      </c>
      <c r="M20" s="15"/>
      <c r="N20" s="15" t="s">
        <v>5</v>
      </c>
      <c r="O20" s="15"/>
      <c r="P20" s="15" t="s">
        <v>43</v>
      </c>
      <c r="Q20" s="15"/>
      <c r="R20" s="15" t="s">
        <v>6</v>
      </c>
      <c r="S20" s="15"/>
      <c r="T20" s="15" t="s">
        <v>7</v>
      </c>
      <c r="U20" s="15"/>
      <c r="V20" s="15" t="s">
        <v>44</v>
      </c>
      <c r="W20" s="15"/>
      <c r="X20" s="15" t="s">
        <v>8</v>
      </c>
      <c r="Y20" s="15"/>
    </row>
    <row r="21" spans="1:25" customFormat="1" ht="15.75" x14ac:dyDescent="0.25">
      <c r="A21" s="6" t="s">
        <v>106</v>
      </c>
      <c r="B21" s="2" t="s">
        <v>104</v>
      </c>
      <c r="C21" s="3">
        <v>0.875</v>
      </c>
      <c r="D21" s="2" t="s">
        <v>274</v>
      </c>
      <c r="E21" s="3">
        <v>0.25</v>
      </c>
      <c r="F21" s="2" t="s">
        <v>166</v>
      </c>
      <c r="G21" s="3">
        <v>0.82499999999999996</v>
      </c>
      <c r="H21" s="2" t="s">
        <v>85</v>
      </c>
      <c r="I21" s="3">
        <v>0.92105263157894735</v>
      </c>
      <c r="J21" s="2" t="s">
        <v>171</v>
      </c>
      <c r="K21" s="3">
        <v>1</v>
      </c>
      <c r="L21" s="2" t="s">
        <v>275</v>
      </c>
      <c r="M21" s="3">
        <v>0.71739130434782605</v>
      </c>
      <c r="N21" s="2" t="s">
        <v>297</v>
      </c>
      <c r="O21" s="3">
        <v>0.77777777777777779</v>
      </c>
      <c r="P21" s="2" t="s">
        <v>298</v>
      </c>
      <c r="Q21" s="3">
        <v>0.27777777777777779</v>
      </c>
      <c r="R21" s="2" t="s">
        <v>299</v>
      </c>
      <c r="S21" s="3">
        <v>0.91666666666666663</v>
      </c>
      <c r="T21" s="2" t="s">
        <v>300</v>
      </c>
      <c r="U21" s="3">
        <v>0.96551724137931039</v>
      </c>
      <c r="V21" s="2" t="s">
        <v>171</v>
      </c>
      <c r="W21" s="3">
        <v>1</v>
      </c>
      <c r="X21" s="2" t="s">
        <v>301</v>
      </c>
      <c r="Y21" s="3">
        <v>0.6875</v>
      </c>
    </row>
    <row r="22" spans="1:25" customFormat="1" ht="15.75" x14ac:dyDescent="0.25">
      <c r="A22" s="6" t="s">
        <v>10</v>
      </c>
      <c r="B22" s="2" t="s">
        <v>29</v>
      </c>
      <c r="C22" s="3">
        <v>0.42857142857142855</v>
      </c>
      <c r="D22" s="2" t="s">
        <v>45</v>
      </c>
      <c r="E22" s="3">
        <v>0</v>
      </c>
      <c r="F22" s="2" t="s">
        <v>35</v>
      </c>
      <c r="G22" s="3">
        <v>1</v>
      </c>
      <c r="H22" s="2" t="s">
        <v>276</v>
      </c>
      <c r="I22" s="3">
        <v>0.5</v>
      </c>
      <c r="J22" s="2" t="s">
        <v>13</v>
      </c>
      <c r="K22" s="3" t="s">
        <v>13</v>
      </c>
      <c r="L22" s="2" t="s">
        <v>24</v>
      </c>
      <c r="M22" s="3">
        <v>0.875</v>
      </c>
      <c r="N22" s="2" t="s">
        <v>29</v>
      </c>
      <c r="O22" s="3">
        <v>0.42857142857142855</v>
      </c>
      <c r="P22" s="2" t="s">
        <v>45</v>
      </c>
      <c r="Q22" s="3">
        <v>0</v>
      </c>
      <c r="R22" s="2" t="s">
        <v>35</v>
      </c>
      <c r="S22" s="3">
        <v>1</v>
      </c>
      <c r="T22" s="2" t="s">
        <v>102</v>
      </c>
      <c r="U22" s="3">
        <v>0.75</v>
      </c>
      <c r="V22" s="2" t="s">
        <v>13</v>
      </c>
      <c r="W22" s="3" t="s">
        <v>13</v>
      </c>
      <c r="X22" s="2" t="s">
        <v>24</v>
      </c>
      <c r="Y22" s="3">
        <v>0.875</v>
      </c>
    </row>
    <row r="23" spans="1:25" customFormat="1" ht="15.75" x14ac:dyDescent="0.25">
      <c r="A23" s="6" t="s">
        <v>14</v>
      </c>
      <c r="B23" s="2" t="s">
        <v>28</v>
      </c>
      <c r="C23" s="3">
        <v>1</v>
      </c>
      <c r="D23" s="2" t="s">
        <v>100</v>
      </c>
      <c r="E23" s="3">
        <v>0</v>
      </c>
      <c r="F23" s="2" t="s">
        <v>332</v>
      </c>
      <c r="G23" s="3">
        <v>0.22222222222222221</v>
      </c>
      <c r="H23" s="2" t="s">
        <v>28</v>
      </c>
      <c r="I23" s="3">
        <v>1</v>
      </c>
      <c r="J23" s="2" t="s">
        <v>13</v>
      </c>
      <c r="K23" s="3" t="s">
        <v>13</v>
      </c>
      <c r="L23" s="2" t="s">
        <v>52</v>
      </c>
      <c r="M23" s="3">
        <v>1</v>
      </c>
      <c r="N23" s="2" t="s">
        <v>13</v>
      </c>
      <c r="O23" s="3" t="s">
        <v>13</v>
      </c>
      <c r="P23" s="2" t="s">
        <v>13</v>
      </c>
      <c r="Q23" s="3" t="s">
        <v>13</v>
      </c>
      <c r="R23" s="2" t="s">
        <v>13</v>
      </c>
      <c r="S23" s="3" t="s">
        <v>13</v>
      </c>
      <c r="T23" s="2" t="s">
        <v>13</v>
      </c>
      <c r="U23" s="3" t="s">
        <v>13</v>
      </c>
      <c r="V23" s="2" t="s">
        <v>13</v>
      </c>
      <c r="W23" s="3" t="s">
        <v>13</v>
      </c>
      <c r="X23" s="2" t="s">
        <v>13</v>
      </c>
      <c r="Y23" s="3" t="s">
        <v>13</v>
      </c>
    </row>
    <row r="24" spans="1:25" customFormat="1" ht="15.75" x14ac:dyDescent="0.25">
      <c r="A24" s="6" t="s">
        <v>17</v>
      </c>
      <c r="B24" s="2" t="s">
        <v>153</v>
      </c>
      <c r="C24" s="3">
        <v>0.69230769230769229</v>
      </c>
      <c r="D24" s="2" t="s">
        <v>153</v>
      </c>
      <c r="E24" s="3">
        <v>0.69230769230769229</v>
      </c>
      <c r="F24" s="2" t="s">
        <v>54</v>
      </c>
      <c r="G24" s="3">
        <v>1</v>
      </c>
      <c r="H24" s="2" t="s">
        <v>338</v>
      </c>
      <c r="I24" s="3">
        <v>0.9</v>
      </c>
      <c r="J24" s="2" t="s">
        <v>28</v>
      </c>
      <c r="K24" s="3">
        <v>1</v>
      </c>
      <c r="L24" s="2" t="s">
        <v>117</v>
      </c>
      <c r="M24" s="3">
        <v>0.9285714285714286</v>
      </c>
      <c r="N24" s="2" t="s">
        <v>302</v>
      </c>
      <c r="O24" s="3">
        <v>0.61538461538461542</v>
      </c>
      <c r="P24" s="2" t="s">
        <v>153</v>
      </c>
      <c r="Q24" s="3">
        <v>0.69230769230769229</v>
      </c>
      <c r="R24" s="2" t="s">
        <v>54</v>
      </c>
      <c r="S24" s="3">
        <v>1</v>
      </c>
      <c r="T24" s="2" t="s">
        <v>343</v>
      </c>
      <c r="U24" s="3">
        <v>0.57140000000000002</v>
      </c>
      <c r="V24" s="2" t="s">
        <v>28</v>
      </c>
      <c r="W24" s="3">
        <v>1</v>
      </c>
      <c r="X24" s="2" t="s">
        <v>117</v>
      </c>
      <c r="Y24" s="3">
        <v>0.9285714285714286</v>
      </c>
    </row>
    <row r="25" spans="1:25" customFormat="1" ht="15.75" x14ac:dyDescent="0.25">
      <c r="A25" s="6" t="s">
        <v>18</v>
      </c>
      <c r="B25" s="2" t="s">
        <v>291</v>
      </c>
      <c r="C25" s="3">
        <v>0.91549295774647887</v>
      </c>
      <c r="D25" s="2" t="s">
        <v>38</v>
      </c>
      <c r="E25" s="3">
        <v>0.71830985915492962</v>
      </c>
      <c r="F25" s="2" t="s">
        <v>306</v>
      </c>
      <c r="G25" s="3">
        <v>0.9718</v>
      </c>
      <c r="H25" s="2" t="s">
        <v>280</v>
      </c>
      <c r="I25" s="3">
        <v>0.97014925373134331</v>
      </c>
      <c r="J25" s="2" t="s">
        <v>126</v>
      </c>
      <c r="K25" s="3">
        <v>0.96226415094339623</v>
      </c>
      <c r="L25" s="2" t="s">
        <v>292</v>
      </c>
      <c r="M25" s="3">
        <v>0.68316831683168322</v>
      </c>
      <c r="N25" s="2" t="s">
        <v>320</v>
      </c>
      <c r="O25" s="3">
        <v>0.83695652173913049</v>
      </c>
      <c r="P25" s="2" t="s">
        <v>321</v>
      </c>
      <c r="Q25" s="3">
        <v>0.59782608695652173</v>
      </c>
      <c r="R25" s="2" t="s">
        <v>322</v>
      </c>
      <c r="S25" s="3">
        <v>0.93478260869565222</v>
      </c>
      <c r="T25" s="2" t="s">
        <v>323</v>
      </c>
      <c r="U25" s="3">
        <v>0.92771084337349397</v>
      </c>
      <c r="V25" s="2" t="s">
        <v>324</v>
      </c>
      <c r="W25" s="3">
        <v>0.96491228070175439</v>
      </c>
      <c r="X25" s="2" t="s">
        <v>325</v>
      </c>
      <c r="Y25" s="3">
        <v>0.60139860139860135</v>
      </c>
    </row>
    <row r="26" spans="1:25" customFormat="1" ht="15.75" x14ac:dyDescent="0.25">
      <c r="A26" s="6" t="s">
        <v>22</v>
      </c>
      <c r="B26" s="2" t="s">
        <v>282</v>
      </c>
      <c r="C26" s="3">
        <v>0.88</v>
      </c>
      <c r="D26" s="2" t="s">
        <v>283</v>
      </c>
      <c r="E26" s="3">
        <v>0.26666666666666666</v>
      </c>
      <c r="F26" s="2" t="s">
        <v>284</v>
      </c>
      <c r="G26" s="3">
        <v>0.82666666666666666</v>
      </c>
      <c r="H26" s="2" t="s">
        <v>285</v>
      </c>
      <c r="I26" s="3">
        <v>0.97058823529411764</v>
      </c>
      <c r="J26" s="2" t="s">
        <v>219</v>
      </c>
      <c r="K26" s="3">
        <v>0.90909090909090906</v>
      </c>
      <c r="L26" s="2" t="s">
        <v>286</v>
      </c>
      <c r="M26" s="3">
        <v>0.63917525773195871</v>
      </c>
      <c r="N26" s="2" t="s">
        <v>308</v>
      </c>
      <c r="O26" s="3">
        <v>0.7978723404255319</v>
      </c>
      <c r="P26" s="2" t="s">
        <v>309</v>
      </c>
      <c r="Q26" s="3">
        <v>0.23404255319148937</v>
      </c>
      <c r="R26" s="2" t="s">
        <v>310</v>
      </c>
      <c r="S26" s="3">
        <v>0.78723404255319152</v>
      </c>
      <c r="T26" s="2" t="s">
        <v>311</v>
      </c>
      <c r="U26" s="3">
        <v>0.9375</v>
      </c>
      <c r="V26" s="2" t="s">
        <v>103</v>
      </c>
      <c r="W26" s="3">
        <v>0.91666666666666663</v>
      </c>
      <c r="X26" s="2" t="s">
        <v>312</v>
      </c>
      <c r="Y26" s="3">
        <v>0.67889908256880738</v>
      </c>
    </row>
    <row r="27" spans="1:25" customFormat="1" ht="15.75" x14ac:dyDescent="0.25">
      <c r="A27" s="6" t="s">
        <v>107</v>
      </c>
      <c r="B27" s="2" t="s">
        <v>51</v>
      </c>
      <c r="C27" s="3">
        <v>0.625</v>
      </c>
      <c r="D27" s="2" t="s">
        <v>63</v>
      </c>
      <c r="E27" s="3">
        <v>0.125</v>
      </c>
      <c r="F27" s="2" t="s">
        <v>23</v>
      </c>
      <c r="G27" s="3">
        <v>1</v>
      </c>
      <c r="H27" s="2" t="s">
        <v>234</v>
      </c>
      <c r="I27" s="3">
        <v>0.55555555555555558</v>
      </c>
      <c r="J27" s="2" t="s">
        <v>15</v>
      </c>
      <c r="K27" s="3">
        <v>1</v>
      </c>
      <c r="L27" s="2" t="s">
        <v>287</v>
      </c>
      <c r="M27" s="3">
        <v>0.17391304347826086</v>
      </c>
      <c r="N27" s="2" t="s">
        <v>51</v>
      </c>
      <c r="O27" s="3">
        <v>0.625</v>
      </c>
      <c r="P27" s="2" t="s">
        <v>313</v>
      </c>
      <c r="Q27" s="3">
        <v>0</v>
      </c>
      <c r="R27" s="2" t="s">
        <v>23</v>
      </c>
      <c r="S27" s="3">
        <v>1</v>
      </c>
      <c r="T27" s="2" t="s">
        <v>11</v>
      </c>
      <c r="U27" s="3">
        <v>0.83333333333333337</v>
      </c>
      <c r="V27" s="2" t="s">
        <v>13</v>
      </c>
      <c r="W27" s="3" t="s">
        <v>13</v>
      </c>
      <c r="X27" s="2" t="s">
        <v>314</v>
      </c>
      <c r="Y27" s="3">
        <v>0.1702127659574468</v>
      </c>
    </row>
    <row r="28" spans="1:25" customFormat="1" ht="15.75" x14ac:dyDescent="0.25">
      <c r="A28" s="6" t="s">
        <v>108</v>
      </c>
      <c r="B28" s="2" t="s">
        <v>52</v>
      </c>
      <c r="C28" s="3">
        <v>1</v>
      </c>
      <c r="D28" s="9" t="s">
        <v>140</v>
      </c>
      <c r="E28" s="3">
        <v>0</v>
      </c>
      <c r="F28" s="2" t="s">
        <v>88</v>
      </c>
      <c r="G28" s="3">
        <v>0.5</v>
      </c>
      <c r="H28" s="2" t="s">
        <v>52</v>
      </c>
      <c r="I28" s="3">
        <v>1</v>
      </c>
      <c r="J28" s="2" t="s">
        <v>13</v>
      </c>
      <c r="K28" s="3" t="s">
        <v>13</v>
      </c>
      <c r="L28" s="2" t="s">
        <v>15</v>
      </c>
      <c r="M28" s="3">
        <v>1</v>
      </c>
      <c r="N28" s="2" t="s">
        <v>13</v>
      </c>
      <c r="O28" s="3" t="s">
        <v>13</v>
      </c>
      <c r="P28" s="2" t="s">
        <v>13</v>
      </c>
      <c r="Q28" s="3" t="s">
        <v>13</v>
      </c>
      <c r="R28" s="2" t="s">
        <v>13</v>
      </c>
      <c r="S28" s="3" t="s">
        <v>13</v>
      </c>
      <c r="T28" s="2" t="s">
        <v>13</v>
      </c>
      <c r="U28" s="3" t="s">
        <v>13</v>
      </c>
      <c r="V28" s="2" t="s">
        <v>13</v>
      </c>
      <c r="W28" s="3" t="s">
        <v>13</v>
      </c>
      <c r="X28" s="2" t="s">
        <v>13</v>
      </c>
      <c r="Y28" s="3" t="s">
        <v>13</v>
      </c>
    </row>
    <row r="29" spans="1:25" customFormat="1" x14ac:dyDescent="0.25">
      <c r="B29" s="9"/>
      <c r="C29" s="9"/>
      <c r="D29" s="10"/>
      <c r="E29" s="10"/>
      <c r="F29" s="10"/>
      <c r="G29" s="10"/>
      <c r="H29" s="9"/>
      <c r="I29" s="9"/>
      <c r="J29" s="10"/>
      <c r="K29" s="10"/>
      <c r="L29" s="10"/>
      <c r="M29" s="10"/>
      <c r="N29" s="9"/>
      <c r="O29" s="9"/>
      <c r="P29" s="10"/>
      <c r="Q29" s="10"/>
      <c r="R29" s="10"/>
      <c r="S29" s="10"/>
      <c r="T29" s="9"/>
      <c r="U29" s="9"/>
      <c r="V29" s="4"/>
      <c r="W29" s="10"/>
      <c r="X29" s="4"/>
      <c r="Y29" s="10"/>
    </row>
    <row r="30" spans="1:25" customFormat="1" ht="15.75" x14ac:dyDescent="0.25">
      <c r="A30" s="6" t="s">
        <v>30</v>
      </c>
      <c r="B30" s="2" t="s">
        <v>293</v>
      </c>
      <c r="C30" s="3">
        <v>0.86222222222222222</v>
      </c>
      <c r="D30" s="2" t="s">
        <v>294</v>
      </c>
      <c r="E30" s="3">
        <v>0.40444444444444444</v>
      </c>
      <c r="F30" s="2" t="s">
        <v>341</v>
      </c>
      <c r="G30" s="3">
        <v>0.86599999999999999</v>
      </c>
      <c r="H30" s="2" t="s">
        <v>340</v>
      </c>
      <c r="I30" s="3">
        <v>0.92827142857142897</v>
      </c>
      <c r="J30" s="2" t="s">
        <v>295</v>
      </c>
      <c r="K30" s="3">
        <v>0.95789473684210524</v>
      </c>
      <c r="L30" s="2" t="s">
        <v>296</v>
      </c>
      <c r="M30" s="3">
        <v>0.61904761904761907</v>
      </c>
      <c r="N30" s="2" t="s">
        <v>326</v>
      </c>
      <c r="O30" s="3">
        <v>0.78400000000000003</v>
      </c>
      <c r="P30" s="2" t="s">
        <v>327</v>
      </c>
      <c r="Q30" s="3">
        <v>0.38400000000000001</v>
      </c>
      <c r="R30" s="2" t="s">
        <v>328</v>
      </c>
      <c r="S30" s="3">
        <v>0.88400000000000001</v>
      </c>
      <c r="T30" s="2" t="s">
        <v>344</v>
      </c>
      <c r="U30" s="3">
        <v>0.90739999999999998</v>
      </c>
      <c r="V30" s="2" t="s">
        <v>329</v>
      </c>
      <c r="W30" s="3">
        <v>0.96</v>
      </c>
      <c r="X30" s="2" t="s">
        <v>330</v>
      </c>
      <c r="Y30" s="3">
        <v>0.59891598915989164</v>
      </c>
    </row>
  </sheetData>
  <mergeCells count="24">
    <mergeCell ref="V3:W3"/>
    <mergeCell ref="X3:Y3"/>
    <mergeCell ref="B20:C20"/>
    <mergeCell ref="D20:E20"/>
    <mergeCell ref="F20:G20"/>
    <mergeCell ref="H20:I20"/>
    <mergeCell ref="J20:K20"/>
    <mergeCell ref="L20:M20"/>
    <mergeCell ref="N20:O20"/>
    <mergeCell ref="P20:Q20"/>
    <mergeCell ref="R20:S20"/>
    <mergeCell ref="T20:U20"/>
    <mergeCell ref="V20:W20"/>
    <mergeCell ref="X20:Y20"/>
    <mergeCell ref="L3:M3"/>
    <mergeCell ref="N3:O3"/>
    <mergeCell ref="P3:Q3"/>
    <mergeCell ref="R3:S3"/>
    <mergeCell ref="T3:U3"/>
    <mergeCell ref="B3:C3"/>
    <mergeCell ref="D3:E3"/>
    <mergeCell ref="F3:G3"/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0"/>
  <sheetViews>
    <sheetView topLeftCell="H1" workbookViewId="0">
      <selection activeCell="N1" sqref="N1:N1048576"/>
    </sheetView>
  </sheetViews>
  <sheetFormatPr baseColWidth="10" defaultRowHeight="15" x14ac:dyDescent="0.25"/>
  <cols>
    <col min="2" max="25" width="12.7109375" customWidth="1"/>
  </cols>
  <sheetData>
    <row r="1" spans="1:25" ht="18.75" x14ac:dyDescent="0.3">
      <c r="A1" s="7" t="s">
        <v>0</v>
      </c>
    </row>
    <row r="2" spans="1:25" ht="15.75" x14ac:dyDescent="0.25">
      <c r="A2" s="6"/>
    </row>
    <row r="3" spans="1:25" ht="15.75" x14ac:dyDescent="0.25">
      <c r="B3" s="15" t="s">
        <v>1</v>
      </c>
      <c r="C3" s="15"/>
      <c r="D3" s="16" t="s">
        <v>41</v>
      </c>
      <c r="E3" s="16"/>
      <c r="F3" s="15" t="s">
        <v>2</v>
      </c>
      <c r="G3" s="15"/>
      <c r="H3" s="15" t="s">
        <v>3</v>
      </c>
      <c r="I3" s="15"/>
      <c r="J3" s="15" t="s">
        <v>42</v>
      </c>
      <c r="K3" s="15"/>
      <c r="L3" s="15" t="s">
        <v>4</v>
      </c>
      <c r="M3" s="15"/>
      <c r="N3" s="15" t="s">
        <v>5</v>
      </c>
      <c r="O3" s="15"/>
      <c r="P3" s="15" t="s">
        <v>43</v>
      </c>
      <c r="Q3" s="15"/>
      <c r="R3" s="15" t="s">
        <v>6</v>
      </c>
      <c r="S3" s="15"/>
      <c r="T3" s="15" t="s">
        <v>7</v>
      </c>
      <c r="U3" s="15"/>
      <c r="V3" s="15" t="s">
        <v>44</v>
      </c>
      <c r="W3" s="15"/>
      <c r="X3" s="15" t="s">
        <v>8</v>
      </c>
      <c r="Y3" s="15"/>
    </row>
    <row r="4" spans="1:25" ht="15.75" x14ac:dyDescent="0.25">
      <c r="A4" s="6" t="s">
        <v>106</v>
      </c>
      <c r="B4" s="2" t="s">
        <v>24</v>
      </c>
      <c r="C4" s="3">
        <f>7/8</f>
        <v>0.875</v>
      </c>
      <c r="D4" s="2" t="s">
        <v>63</v>
      </c>
      <c r="E4" s="3">
        <f>1/8</f>
        <v>0.125</v>
      </c>
      <c r="F4" s="2" t="s">
        <v>24</v>
      </c>
      <c r="G4" s="3">
        <f>7/8</f>
        <v>0.875</v>
      </c>
      <c r="H4" s="2" t="s">
        <v>35</v>
      </c>
      <c r="I4" s="3">
        <f>7/7</f>
        <v>1</v>
      </c>
      <c r="J4" s="2" t="s">
        <v>15</v>
      </c>
      <c r="K4" s="3">
        <f>1/1</f>
        <v>1</v>
      </c>
      <c r="L4" s="2" t="s">
        <v>109</v>
      </c>
      <c r="M4" s="3">
        <f>7/10</f>
        <v>0.7</v>
      </c>
      <c r="N4" s="2" t="s">
        <v>50</v>
      </c>
      <c r="O4" s="3">
        <f>4/7</f>
        <v>0.5714285714285714</v>
      </c>
      <c r="P4" s="2" t="s">
        <v>90</v>
      </c>
      <c r="Q4" s="3">
        <f>1/7</f>
        <v>0.14285714285714285</v>
      </c>
      <c r="R4" s="2" t="s">
        <v>35</v>
      </c>
      <c r="S4" s="3">
        <f>7/7</f>
        <v>1</v>
      </c>
      <c r="T4" s="2" t="s">
        <v>49</v>
      </c>
      <c r="U4" s="3">
        <f>4/4</f>
        <v>1</v>
      </c>
      <c r="V4" s="2" t="s">
        <v>15</v>
      </c>
      <c r="W4" s="3">
        <f>1/1</f>
        <v>1</v>
      </c>
      <c r="X4" s="2" t="s">
        <v>109</v>
      </c>
      <c r="Y4" s="3">
        <f>7/10</f>
        <v>0.7</v>
      </c>
    </row>
    <row r="5" spans="1:25" ht="15.75" x14ac:dyDescent="0.25">
      <c r="A5" s="6" t="s">
        <v>10</v>
      </c>
      <c r="B5" s="2" t="s">
        <v>52</v>
      </c>
      <c r="C5" s="3">
        <f>2/2</f>
        <v>1</v>
      </c>
      <c r="D5" s="2" t="s">
        <v>140</v>
      </c>
      <c r="E5" s="3">
        <f>0/2</f>
        <v>0</v>
      </c>
      <c r="F5" s="2" t="s">
        <v>52</v>
      </c>
      <c r="G5" s="3">
        <f>2/2</f>
        <v>1</v>
      </c>
      <c r="H5" s="2" t="s">
        <v>110</v>
      </c>
      <c r="I5" s="3">
        <f>2/3</f>
        <v>0.66666666666666663</v>
      </c>
      <c r="J5" s="2" t="s">
        <v>13</v>
      </c>
      <c r="K5" s="2" t="s">
        <v>13</v>
      </c>
      <c r="L5" s="2" t="s">
        <v>110</v>
      </c>
      <c r="M5" s="3">
        <f>2/3</f>
        <v>0.66666666666666663</v>
      </c>
      <c r="N5" s="2" t="s">
        <v>52</v>
      </c>
      <c r="O5" s="3">
        <f>2/2</f>
        <v>1</v>
      </c>
      <c r="P5" s="2" t="s">
        <v>140</v>
      </c>
      <c r="Q5" s="3">
        <f>0/2</f>
        <v>0</v>
      </c>
      <c r="R5" s="2" t="s">
        <v>52</v>
      </c>
      <c r="S5" s="3">
        <f>2/2</f>
        <v>1</v>
      </c>
      <c r="T5" s="2" t="s">
        <v>52</v>
      </c>
      <c r="U5" s="3">
        <f>2/2</f>
        <v>1</v>
      </c>
      <c r="V5" s="2" t="s">
        <v>13</v>
      </c>
      <c r="W5" s="2" t="s">
        <v>13</v>
      </c>
      <c r="X5" s="2" t="s">
        <v>110</v>
      </c>
      <c r="Y5" s="3">
        <f>2/3</f>
        <v>0.66666666666666663</v>
      </c>
    </row>
    <row r="6" spans="1:25" ht="15.75" x14ac:dyDescent="0.25">
      <c r="A6" s="6" t="s">
        <v>14</v>
      </c>
      <c r="B6" s="2" t="s">
        <v>46</v>
      </c>
      <c r="C6" s="3">
        <f>3/3</f>
        <v>1</v>
      </c>
      <c r="D6" s="2" t="s">
        <v>74</v>
      </c>
      <c r="E6" s="3">
        <f>0/3</f>
        <v>0</v>
      </c>
      <c r="F6" s="2" t="s">
        <v>74</v>
      </c>
      <c r="G6" s="3">
        <f>0/3</f>
        <v>0</v>
      </c>
      <c r="H6" s="2" t="s">
        <v>46</v>
      </c>
      <c r="I6" s="3">
        <f>3/3</f>
        <v>1</v>
      </c>
      <c r="J6" s="2" t="s">
        <v>13</v>
      </c>
      <c r="K6" s="2" t="s">
        <v>13</v>
      </c>
      <c r="L6" s="2" t="s">
        <v>13</v>
      </c>
      <c r="M6" s="2" t="s">
        <v>13</v>
      </c>
      <c r="N6" s="2" t="s">
        <v>13</v>
      </c>
      <c r="O6" s="2" t="s">
        <v>13</v>
      </c>
      <c r="P6" s="2" t="s">
        <v>13</v>
      </c>
      <c r="Q6" s="2" t="s">
        <v>13</v>
      </c>
      <c r="R6" s="2" t="s">
        <v>13</v>
      </c>
      <c r="S6" s="2" t="s">
        <v>13</v>
      </c>
      <c r="T6" s="2" t="s">
        <v>13</v>
      </c>
      <c r="U6" s="2" t="s">
        <v>13</v>
      </c>
      <c r="V6" s="2" t="s">
        <v>13</v>
      </c>
      <c r="W6" s="2" t="s">
        <v>13</v>
      </c>
      <c r="X6" s="2" t="s">
        <v>13</v>
      </c>
      <c r="Y6" s="2" t="s">
        <v>13</v>
      </c>
    </row>
    <row r="7" spans="1:25" ht="15.75" x14ac:dyDescent="0.25">
      <c r="A7" s="6" t="s">
        <v>17</v>
      </c>
      <c r="B7" s="2" t="s">
        <v>110</v>
      </c>
      <c r="C7" s="3">
        <f>2/3</f>
        <v>0.66666666666666663</v>
      </c>
      <c r="D7" s="2" t="s">
        <v>110</v>
      </c>
      <c r="E7" s="3">
        <f>2/3</f>
        <v>0.66666666666666663</v>
      </c>
      <c r="F7" s="2" t="s">
        <v>46</v>
      </c>
      <c r="G7" s="3">
        <f>3/3</f>
        <v>1</v>
      </c>
      <c r="H7" s="2" t="s">
        <v>52</v>
      </c>
      <c r="I7" s="3">
        <f>2/2</f>
        <v>1</v>
      </c>
      <c r="J7" s="2" t="s">
        <v>52</v>
      </c>
      <c r="K7" s="3">
        <f>2/2</f>
        <v>1</v>
      </c>
      <c r="L7" s="2" t="s">
        <v>102</v>
      </c>
      <c r="M7" s="3">
        <f>3/4</f>
        <v>0.75</v>
      </c>
      <c r="N7" s="2" t="s">
        <v>110</v>
      </c>
      <c r="O7" s="3">
        <f>2/3</f>
        <v>0.66666666666666663</v>
      </c>
      <c r="P7" s="2" t="s">
        <v>110</v>
      </c>
      <c r="Q7" s="3">
        <f>2/3</f>
        <v>0.66666666666666663</v>
      </c>
      <c r="R7" s="2" t="s">
        <v>46</v>
      </c>
      <c r="S7" s="3">
        <f>3/3</f>
        <v>1</v>
      </c>
      <c r="T7" s="2" t="s">
        <v>52</v>
      </c>
      <c r="U7" s="3">
        <f>2/2</f>
        <v>1</v>
      </c>
      <c r="V7" s="2" t="s">
        <v>52</v>
      </c>
      <c r="W7" s="3">
        <f>2/2</f>
        <v>1</v>
      </c>
      <c r="X7" s="2" t="s">
        <v>102</v>
      </c>
      <c r="Y7" s="3">
        <f>3/4</f>
        <v>0.75</v>
      </c>
    </row>
    <row r="8" spans="1:25" ht="15.75" x14ac:dyDescent="0.25">
      <c r="A8" s="6" t="s">
        <v>18</v>
      </c>
      <c r="B8" s="2" t="s">
        <v>111</v>
      </c>
      <c r="C8" s="3">
        <f>23/27</f>
        <v>0.85185185185185186</v>
      </c>
      <c r="D8" s="2" t="s">
        <v>141</v>
      </c>
      <c r="E8" s="3">
        <f>13/27</f>
        <v>0.48148148148148145</v>
      </c>
      <c r="F8" s="2" t="s">
        <v>112</v>
      </c>
      <c r="G8" s="3">
        <f>25/27</f>
        <v>0.92592592592592593</v>
      </c>
      <c r="H8" s="2" t="s">
        <v>83</v>
      </c>
      <c r="I8" s="3">
        <f>23/23</f>
        <v>1</v>
      </c>
      <c r="J8" s="2" t="s">
        <v>144</v>
      </c>
      <c r="K8" s="3">
        <f>13/15</f>
        <v>0.8666666666666667</v>
      </c>
      <c r="L8" s="2" t="s">
        <v>113</v>
      </c>
      <c r="M8" s="3">
        <f>25/38</f>
        <v>0.65789473684210531</v>
      </c>
      <c r="N8" s="2" t="s">
        <v>114</v>
      </c>
      <c r="O8" s="3">
        <f>27/32</f>
        <v>0.84375</v>
      </c>
      <c r="P8" s="2" t="s">
        <v>146</v>
      </c>
      <c r="Q8" s="3">
        <f>13/32</f>
        <v>0.40625</v>
      </c>
      <c r="R8" s="2" t="s">
        <v>115</v>
      </c>
      <c r="S8" s="3">
        <f>28/32</f>
        <v>0.875</v>
      </c>
      <c r="T8" s="2" t="s">
        <v>19</v>
      </c>
      <c r="U8" s="3">
        <f>27/27</f>
        <v>1</v>
      </c>
      <c r="V8" s="2" t="s">
        <v>144</v>
      </c>
      <c r="W8" s="3">
        <f>13/15</f>
        <v>0.8666666666666667</v>
      </c>
      <c r="X8" s="2" t="s">
        <v>116</v>
      </c>
      <c r="Y8" s="3">
        <f>28/48</f>
        <v>0.58333333333333337</v>
      </c>
    </row>
    <row r="9" spans="1:25" ht="15.75" x14ac:dyDescent="0.25">
      <c r="A9" s="6" t="s">
        <v>22</v>
      </c>
      <c r="B9" s="2" t="s">
        <v>117</v>
      </c>
      <c r="C9" s="3">
        <f>13/14</f>
        <v>0.9285714285714286</v>
      </c>
      <c r="D9" s="2" t="s">
        <v>142</v>
      </c>
      <c r="E9" s="3">
        <f>5/14</f>
        <v>0.35714285714285715</v>
      </c>
      <c r="F9" s="2" t="s">
        <v>34</v>
      </c>
      <c r="G9" s="3">
        <f>10/14</f>
        <v>0.7142857142857143</v>
      </c>
      <c r="H9" s="2" t="s">
        <v>54</v>
      </c>
      <c r="I9" s="3">
        <f>13/13</f>
        <v>1</v>
      </c>
      <c r="J9" s="2" t="s">
        <v>11</v>
      </c>
      <c r="K9" s="3">
        <f>5/6</f>
        <v>0.83333333333333337</v>
      </c>
      <c r="L9" s="2" t="s">
        <v>118</v>
      </c>
      <c r="M9" s="3">
        <f>10/18</f>
        <v>0.55555555555555558</v>
      </c>
      <c r="N9" s="2" t="s">
        <v>119</v>
      </c>
      <c r="O9" s="3">
        <f>16/18</f>
        <v>0.88888888888888884</v>
      </c>
      <c r="P9" s="2" t="s">
        <v>78</v>
      </c>
      <c r="Q9" s="3">
        <f>6/18</f>
        <v>0.33333333333333331</v>
      </c>
      <c r="R9" s="2" t="s">
        <v>120</v>
      </c>
      <c r="S9" s="3">
        <f>12/18</f>
        <v>0.66666666666666663</v>
      </c>
      <c r="T9" s="2" t="s">
        <v>121</v>
      </c>
      <c r="U9" s="3">
        <f>16/17</f>
        <v>0.94117647058823528</v>
      </c>
      <c r="V9" s="2" t="s">
        <v>26</v>
      </c>
      <c r="W9" s="3">
        <f>6/7</f>
        <v>0.8571428571428571</v>
      </c>
      <c r="X9" s="2" t="s">
        <v>122</v>
      </c>
      <c r="Y9" s="3">
        <f>12/20</f>
        <v>0.6</v>
      </c>
    </row>
    <row r="10" spans="1:25" ht="15.75" x14ac:dyDescent="0.25">
      <c r="A10" s="6" t="s">
        <v>107</v>
      </c>
      <c r="B10" s="2" t="s">
        <v>88</v>
      </c>
      <c r="C10" s="3">
        <f>1/2</f>
        <v>0.5</v>
      </c>
      <c r="D10" s="2" t="s">
        <v>140</v>
      </c>
      <c r="E10" s="3">
        <f>0/2</f>
        <v>0</v>
      </c>
      <c r="F10" s="2" t="s">
        <v>52</v>
      </c>
      <c r="G10" s="3">
        <f>2/2</f>
        <v>1</v>
      </c>
      <c r="H10" s="2" t="s">
        <v>88</v>
      </c>
      <c r="I10" s="3">
        <f>1/2</f>
        <v>0.5</v>
      </c>
      <c r="J10" s="2" t="s">
        <v>13</v>
      </c>
      <c r="K10" s="2" t="s">
        <v>13</v>
      </c>
      <c r="L10" s="2" t="s">
        <v>123</v>
      </c>
      <c r="M10" s="3">
        <f>2/10</f>
        <v>0.2</v>
      </c>
      <c r="N10" s="2" t="s">
        <v>88</v>
      </c>
      <c r="O10" s="3">
        <f>1/2</f>
        <v>0.5</v>
      </c>
      <c r="P10" s="2" t="s">
        <v>140</v>
      </c>
      <c r="Q10" s="3">
        <f>0/2</f>
        <v>0</v>
      </c>
      <c r="R10" s="2" t="s">
        <v>52</v>
      </c>
      <c r="S10" s="3">
        <f>2/2</f>
        <v>1</v>
      </c>
      <c r="T10" s="2" t="s">
        <v>88</v>
      </c>
      <c r="U10" s="3">
        <f>1/2</f>
        <v>0.5</v>
      </c>
      <c r="V10" s="2" t="s">
        <v>13</v>
      </c>
      <c r="W10" s="2" t="s">
        <v>13</v>
      </c>
      <c r="X10" s="2" t="s">
        <v>123</v>
      </c>
      <c r="Y10" s="3">
        <f>2/10</f>
        <v>0.2</v>
      </c>
    </row>
    <row r="11" spans="1:25" ht="15.75" x14ac:dyDescent="0.25">
      <c r="A11" s="6" t="s">
        <v>108</v>
      </c>
      <c r="B11" s="8" t="s">
        <v>9</v>
      </c>
      <c r="C11" s="9"/>
      <c r="D11" s="10"/>
      <c r="E11" s="10"/>
      <c r="F11" s="10"/>
      <c r="G11" s="10"/>
      <c r="H11" s="9"/>
      <c r="I11" s="9"/>
      <c r="J11" s="10"/>
      <c r="K11" s="10"/>
      <c r="L11" s="10"/>
      <c r="M11" s="10"/>
      <c r="N11" s="9"/>
      <c r="O11" s="9"/>
      <c r="P11" s="10"/>
      <c r="Q11" s="10"/>
      <c r="R11" s="10"/>
      <c r="S11" s="10"/>
      <c r="T11" s="9"/>
      <c r="U11" s="9"/>
      <c r="V11" s="4"/>
      <c r="W11" s="10"/>
      <c r="X11" s="4"/>
      <c r="Y11" s="10"/>
    </row>
    <row r="12" spans="1:25" x14ac:dyDescent="0.25">
      <c r="B12" s="2"/>
      <c r="C12" s="9"/>
      <c r="D12" s="10"/>
      <c r="E12" s="10"/>
      <c r="F12" s="10"/>
      <c r="G12" s="10"/>
      <c r="H12" s="9"/>
      <c r="I12" s="9"/>
      <c r="J12" s="10"/>
      <c r="K12" s="10"/>
      <c r="L12" s="10"/>
      <c r="M12" s="10"/>
      <c r="N12" s="9"/>
      <c r="O12" s="9"/>
      <c r="P12" s="10"/>
      <c r="Q12" s="10"/>
      <c r="R12" s="10"/>
      <c r="S12" s="10"/>
      <c r="T12" s="9"/>
      <c r="U12" s="9"/>
      <c r="V12" s="4"/>
      <c r="W12" s="10"/>
      <c r="X12" s="4"/>
      <c r="Y12" s="10"/>
    </row>
    <row r="13" spans="1:25" ht="15.75" x14ac:dyDescent="0.25">
      <c r="A13" s="6" t="s">
        <v>30</v>
      </c>
      <c r="B13" s="2" t="s">
        <v>124</v>
      </c>
      <c r="C13" s="3">
        <f>51/59</f>
        <v>0.86440677966101698</v>
      </c>
      <c r="D13" s="2" t="s">
        <v>143</v>
      </c>
      <c r="E13" s="3">
        <f>21/59</f>
        <v>0.3559322033898305</v>
      </c>
      <c r="F13" s="2" t="s">
        <v>125</v>
      </c>
      <c r="G13" s="3">
        <f>49/59</f>
        <v>0.83050847457627119</v>
      </c>
      <c r="H13" s="2" t="s">
        <v>126</v>
      </c>
      <c r="I13" s="3">
        <f>51/53</f>
        <v>0.96226415094339623</v>
      </c>
      <c r="J13" s="2" t="s">
        <v>145</v>
      </c>
      <c r="K13" s="3">
        <f>21/24</f>
        <v>0.875</v>
      </c>
      <c r="L13" s="2" t="s">
        <v>127</v>
      </c>
      <c r="M13" s="3">
        <f>49/83</f>
        <v>0.59036144578313254</v>
      </c>
      <c r="N13" s="2" t="s">
        <v>128</v>
      </c>
      <c r="O13" s="3">
        <f>52/64</f>
        <v>0.8125</v>
      </c>
      <c r="P13" s="2" t="s">
        <v>147</v>
      </c>
      <c r="Q13" s="3">
        <f>22/64</f>
        <v>0.34375</v>
      </c>
      <c r="R13" s="2" t="s">
        <v>129</v>
      </c>
      <c r="S13" s="3">
        <f>54/64</f>
        <v>0.84375</v>
      </c>
      <c r="T13" s="2" t="s">
        <v>94</v>
      </c>
      <c r="U13" s="3">
        <f>52/54</f>
        <v>0.96296296296296291</v>
      </c>
      <c r="V13" s="2" t="s">
        <v>82</v>
      </c>
      <c r="W13" s="3">
        <f>22/25</f>
        <v>0.88</v>
      </c>
      <c r="X13" s="2" t="s">
        <v>130</v>
      </c>
      <c r="Y13" s="3">
        <f>54/95</f>
        <v>0.56842105263157894</v>
      </c>
    </row>
    <row r="14" spans="1:25" x14ac:dyDescent="0.25"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2"/>
      <c r="Y14" s="11"/>
    </row>
    <row r="15" spans="1:25" x14ac:dyDescent="0.25">
      <c r="X15" s="12"/>
      <c r="Y15" s="11"/>
    </row>
    <row r="16" spans="1:25" x14ac:dyDescent="0.25">
      <c r="X16" s="12"/>
      <c r="Y16" s="11"/>
    </row>
    <row r="17" spans="1:25" x14ac:dyDescent="0.25">
      <c r="X17" s="12"/>
      <c r="Y17" s="11"/>
    </row>
    <row r="18" spans="1:25" ht="18.75" x14ac:dyDescent="0.3">
      <c r="A18" s="7" t="s">
        <v>32</v>
      </c>
      <c r="X18" s="12"/>
      <c r="Y18" s="11"/>
    </row>
    <row r="19" spans="1:25" x14ac:dyDescent="0.25">
      <c r="X19" s="13"/>
    </row>
    <row r="20" spans="1:25" ht="15.75" x14ac:dyDescent="0.25">
      <c r="B20" s="15" t="s">
        <v>1</v>
      </c>
      <c r="C20" s="15"/>
      <c r="D20" s="16" t="s">
        <v>41</v>
      </c>
      <c r="E20" s="16"/>
      <c r="F20" s="15" t="s">
        <v>2</v>
      </c>
      <c r="G20" s="15"/>
      <c r="H20" s="15" t="s">
        <v>3</v>
      </c>
      <c r="I20" s="15"/>
      <c r="J20" s="15" t="s">
        <v>42</v>
      </c>
      <c r="K20" s="15"/>
      <c r="L20" s="15" t="s">
        <v>4</v>
      </c>
      <c r="M20" s="15"/>
      <c r="N20" s="15" t="s">
        <v>5</v>
      </c>
      <c r="O20" s="15"/>
      <c r="P20" s="15" t="s">
        <v>43</v>
      </c>
      <c r="Q20" s="15"/>
      <c r="R20" s="15" t="s">
        <v>6</v>
      </c>
      <c r="S20" s="15"/>
      <c r="T20" s="15" t="s">
        <v>7</v>
      </c>
      <c r="U20" s="15"/>
      <c r="V20" s="15" t="s">
        <v>44</v>
      </c>
      <c r="W20" s="15"/>
      <c r="X20" s="15" t="s">
        <v>8</v>
      </c>
      <c r="Y20" s="15"/>
    </row>
    <row r="21" spans="1:25" ht="15.75" x14ac:dyDescent="0.25">
      <c r="A21" s="6" t="s">
        <v>106</v>
      </c>
      <c r="B21" s="2" t="s">
        <v>24</v>
      </c>
      <c r="C21" s="3">
        <f>7/8</f>
        <v>0.875</v>
      </c>
      <c r="D21" s="2" t="s">
        <v>63</v>
      </c>
      <c r="E21" s="3">
        <f>1/8</f>
        <v>0.125</v>
      </c>
      <c r="F21" s="2" t="s">
        <v>24</v>
      </c>
      <c r="G21" s="3">
        <f>7/8</f>
        <v>0.875</v>
      </c>
      <c r="H21" s="2" t="s">
        <v>35</v>
      </c>
      <c r="I21" s="3">
        <f>7/7</f>
        <v>1</v>
      </c>
      <c r="J21" s="2" t="s">
        <v>15</v>
      </c>
      <c r="K21" s="3">
        <f>1/1</f>
        <v>1</v>
      </c>
      <c r="L21" s="2" t="s">
        <v>109</v>
      </c>
      <c r="M21" s="3">
        <f>7/10</f>
        <v>0.7</v>
      </c>
      <c r="N21" s="2" t="s">
        <v>50</v>
      </c>
      <c r="O21" s="3">
        <f>4/7</f>
        <v>0.5714285714285714</v>
      </c>
      <c r="P21" s="2" t="s">
        <v>90</v>
      </c>
      <c r="Q21" s="3">
        <f>1/7</f>
        <v>0.14285714285714285</v>
      </c>
      <c r="R21" s="2" t="s">
        <v>35</v>
      </c>
      <c r="S21" s="3">
        <f>7/7</f>
        <v>1</v>
      </c>
      <c r="T21" s="2" t="s">
        <v>49</v>
      </c>
      <c r="U21" s="3">
        <f>4/4</f>
        <v>1</v>
      </c>
      <c r="V21" s="2" t="s">
        <v>15</v>
      </c>
      <c r="W21" s="3">
        <f>1/1</f>
        <v>1</v>
      </c>
      <c r="X21" s="2" t="s">
        <v>109</v>
      </c>
      <c r="Y21" s="3">
        <f>7/10</f>
        <v>0.7</v>
      </c>
    </row>
    <row r="22" spans="1:25" ht="15.75" x14ac:dyDescent="0.25">
      <c r="A22" s="6" t="s">
        <v>10</v>
      </c>
      <c r="B22" s="2" t="s">
        <v>52</v>
      </c>
      <c r="C22" s="3">
        <f>2/2</f>
        <v>1</v>
      </c>
      <c r="D22" s="2" t="s">
        <v>140</v>
      </c>
      <c r="E22" s="3">
        <f>0/2</f>
        <v>0</v>
      </c>
      <c r="F22" s="2" t="s">
        <v>52</v>
      </c>
      <c r="G22" s="3">
        <f>2/2</f>
        <v>1</v>
      </c>
      <c r="H22" s="2" t="s">
        <v>110</v>
      </c>
      <c r="I22" s="3">
        <f>2/3</f>
        <v>0.66666666666666663</v>
      </c>
      <c r="J22" s="2" t="s">
        <v>13</v>
      </c>
      <c r="K22" s="2" t="s">
        <v>13</v>
      </c>
      <c r="L22" s="2" t="s">
        <v>110</v>
      </c>
      <c r="M22" s="3">
        <f>2/3</f>
        <v>0.66666666666666663</v>
      </c>
      <c r="N22" s="2" t="s">
        <v>52</v>
      </c>
      <c r="O22" s="3">
        <f>2/2</f>
        <v>1</v>
      </c>
      <c r="P22" s="2" t="s">
        <v>140</v>
      </c>
      <c r="Q22" s="3">
        <f>0/2</f>
        <v>0</v>
      </c>
      <c r="R22" s="2" t="s">
        <v>52</v>
      </c>
      <c r="S22" s="3">
        <f>2/2</f>
        <v>1</v>
      </c>
      <c r="T22" s="2" t="s">
        <v>52</v>
      </c>
      <c r="U22" s="3">
        <f>2/2</f>
        <v>1</v>
      </c>
      <c r="V22" s="2" t="s">
        <v>13</v>
      </c>
      <c r="W22" s="2" t="s">
        <v>13</v>
      </c>
      <c r="X22" s="2" t="s">
        <v>110</v>
      </c>
      <c r="Y22" s="2" t="s">
        <v>13</v>
      </c>
    </row>
    <row r="23" spans="1:25" ht="15.75" x14ac:dyDescent="0.25">
      <c r="A23" s="6" t="s">
        <v>14</v>
      </c>
      <c r="B23" s="2" t="s">
        <v>46</v>
      </c>
      <c r="C23" s="3">
        <f>3/3</f>
        <v>1</v>
      </c>
      <c r="D23" s="2" t="s">
        <v>74</v>
      </c>
      <c r="E23" s="3">
        <f>0/3</f>
        <v>0</v>
      </c>
      <c r="F23" s="2" t="s">
        <v>74</v>
      </c>
      <c r="G23" s="3">
        <f>0/3</f>
        <v>0</v>
      </c>
      <c r="H23" s="2" t="s">
        <v>46</v>
      </c>
      <c r="I23" s="3">
        <f>3/3</f>
        <v>1</v>
      </c>
      <c r="J23" s="2" t="s">
        <v>13</v>
      </c>
      <c r="K23" s="2" t="s">
        <v>13</v>
      </c>
      <c r="L23" s="2" t="s">
        <v>13</v>
      </c>
      <c r="M23" s="2" t="s">
        <v>13</v>
      </c>
      <c r="N23" s="2" t="s">
        <v>13</v>
      </c>
      <c r="O23" s="2" t="s">
        <v>13</v>
      </c>
      <c r="P23" s="2" t="s">
        <v>13</v>
      </c>
      <c r="Q23" s="2" t="s">
        <v>13</v>
      </c>
      <c r="R23" s="2" t="s">
        <v>13</v>
      </c>
      <c r="S23" s="2" t="s">
        <v>13</v>
      </c>
      <c r="T23" s="2" t="s">
        <v>13</v>
      </c>
      <c r="U23" s="2" t="s">
        <v>13</v>
      </c>
      <c r="V23" s="2" t="s">
        <v>13</v>
      </c>
      <c r="W23" s="2" t="s">
        <v>13</v>
      </c>
      <c r="X23" s="2" t="s">
        <v>13</v>
      </c>
      <c r="Y23" s="2" t="s">
        <v>13</v>
      </c>
    </row>
    <row r="24" spans="1:25" ht="15.75" x14ac:dyDescent="0.25">
      <c r="A24" s="6" t="s">
        <v>17</v>
      </c>
      <c r="B24" s="2" t="s">
        <v>110</v>
      </c>
      <c r="C24" s="3">
        <f>2/3</f>
        <v>0.66666666666666663</v>
      </c>
      <c r="D24" s="2" t="s">
        <v>110</v>
      </c>
      <c r="E24" s="3">
        <f>2/3</f>
        <v>0.66666666666666663</v>
      </c>
      <c r="F24" s="2" t="s">
        <v>46</v>
      </c>
      <c r="G24" s="3">
        <f>3/3</f>
        <v>1</v>
      </c>
      <c r="H24" s="2" t="s">
        <v>52</v>
      </c>
      <c r="I24" s="3">
        <f>2/2</f>
        <v>1</v>
      </c>
      <c r="J24" s="2" t="s">
        <v>52</v>
      </c>
      <c r="K24" s="3">
        <f>2/2</f>
        <v>1</v>
      </c>
      <c r="L24" s="2" t="s">
        <v>102</v>
      </c>
      <c r="M24" s="3">
        <f>3/4</f>
        <v>0.75</v>
      </c>
      <c r="N24" s="2" t="s">
        <v>110</v>
      </c>
      <c r="O24" s="3">
        <f>2/3</f>
        <v>0.66666666666666663</v>
      </c>
      <c r="P24" s="2" t="s">
        <v>110</v>
      </c>
      <c r="Q24" s="3">
        <f>2/3</f>
        <v>0.66666666666666663</v>
      </c>
      <c r="R24" s="2" t="s">
        <v>46</v>
      </c>
      <c r="S24" s="3">
        <f>3/3</f>
        <v>1</v>
      </c>
      <c r="T24" s="2" t="s">
        <v>52</v>
      </c>
      <c r="U24" s="3">
        <f>2/2</f>
        <v>1</v>
      </c>
      <c r="V24" s="2" t="s">
        <v>52</v>
      </c>
      <c r="W24" s="3">
        <f>2/2</f>
        <v>1</v>
      </c>
      <c r="X24" s="2" t="s">
        <v>102</v>
      </c>
      <c r="Y24" s="3">
        <f>3/4</f>
        <v>0.75</v>
      </c>
    </row>
    <row r="25" spans="1:25" ht="15.75" x14ac:dyDescent="0.25">
      <c r="A25" s="6" t="s">
        <v>18</v>
      </c>
      <c r="B25" s="2" t="s">
        <v>131</v>
      </c>
      <c r="C25" s="3">
        <f>14/16</f>
        <v>0.875</v>
      </c>
      <c r="D25" s="2" t="s">
        <v>150</v>
      </c>
      <c r="E25" s="3">
        <f>11/16</f>
        <v>0.6875</v>
      </c>
      <c r="F25" s="2" t="s">
        <v>21</v>
      </c>
      <c r="G25" s="3">
        <f>15/16</f>
        <v>0.9375</v>
      </c>
      <c r="H25" s="2" t="s">
        <v>95</v>
      </c>
      <c r="I25" s="3">
        <f>14/14</f>
        <v>1</v>
      </c>
      <c r="J25" s="2" t="s">
        <v>148</v>
      </c>
      <c r="K25" s="3">
        <f>11/13</f>
        <v>0.84615384615384615</v>
      </c>
      <c r="L25" s="2" t="s">
        <v>132</v>
      </c>
      <c r="M25" s="3">
        <f>15/24</f>
        <v>0.625</v>
      </c>
      <c r="N25" s="2" t="s">
        <v>87</v>
      </c>
      <c r="O25" s="3">
        <f>17/20</f>
        <v>0.85</v>
      </c>
      <c r="P25" s="2" t="s">
        <v>20</v>
      </c>
      <c r="Q25" s="3">
        <f>11/20</f>
        <v>0.55000000000000004</v>
      </c>
      <c r="R25" s="2" t="s">
        <v>39</v>
      </c>
      <c r="S25" s="3">
        <f>18/20</f>
        <v>0.9</v>
      </c>
      <c r="T25" s="2" t="s">
        <v>67</v>
      </c>
      <c r="U25" s="3">
        <f>17/17</f>
        <v>1</v>
      </c>
      <c r="V25" s="2" t="s">
        <v>148</v>
      </c>
      <c r="W25" s="3">
        <f>11/13</f>
        <v>0.84615384615384615</v>
      </c>
      <c r="X25" s="2" t="s">
        <v>89</v>
      </c>
      <c r="Y25" s="3">
        <f>18/35</f>
        <v>0.51428571428571423</v>
      </c>
    </row>
    <row r="26" spans="1:25" ht="15.75" x14ac:dyDescent="0.25">
      <c r="A26" s="6" t="s">
        <v>22</v>
      </c>
      <c r="B26" s="2" t="s">
        <v>117</v>
      </c>
      <c r="C26" s="3">
        <f>13/14</f>
        <v>0.9285714285714286</v>
      </c>
      <c r="D26" s="2" t="s">
        <v>142</v>
      </c>
      <c r="E26" s="3">
        <f>5/14</f>
        <v>0.35714285714285715</v>
      </c>
      <c r="F26" s="2" t="s">
        <v>34</v>
      </c>
      <c r="G26" s="3">
        <f>10/14</f>
        <v>0.7142857142857143</v>
      </c>
      <c r="H26" s="2" t="s">
        <v>54</v>
      </c>
      <c r="I26" s="3">
        <f>13/13</f>
        <v>1</v>
      </c>
      <c r="J26" s="2" t="s">
        <v>11</v>
      </c>
      <c r="K26" s="3">
        <f>5/6</f>
        <v>0.83333333333333337</v>
      </c>
      <c r="L26" s="2" t="s">
        <v>118</v>
      </c>
      <c r="M26" s="3">
        <f>10/18</f>
        <v>0.55555555555555558</v>
      </c>
      <c r="N26" s="2" t="s">
        <v>119</v>
      </c>
      <c r="O26" s="3">
        <f>16/18</f>
        <v>0.88888888888888884</v>
      </c>
      <c r="P26" s="2" t="s">
        <v>78</v>
      </c>
      <c r="Q26" s="3">
        <f>6/18</f>
        <v>0.33333333333333331</v>
      </c>
      <c r="R26" s="2" t="s">
        <v>120</v>
      </c>
      <c r="S26" s="3">
        <f>12/18</f>
        <v>0.66666666666666663</v>
      </c>
      <c r="T26" s="2" t="s">
        <v>121</v>
      </c>
      <c r="U26" s="3">
        <f>16/17</f>
        <v>0.94117647058823528</v>
      </c>
      <c r="V26" s="2" t="s">
        <v>26</v>
      </c>
      <c r="W26" s="3">
        <f>6/7</f>
        <v>0.8571428571428571</v>
      </c>
      <c r="X26" s="2" t="s">
        <v>122</v>
      </c>
      <c r="Y26" s="3">
        <f>12/20</f>
        <v>0.6</v>
      </c>
    </row>
    <row r="27" spans="1:25" ht="15.75" x14ac:dyDescent="0.25">
      <c r="A27" s="6" t="s">
        <v>107</v>
      </c>
      <c r="B27" s="2" t="s">
        <v>88</v>
      </c>
      <c r="C27" s="3">
        <f>1/2</f>
        <v>0.5</v>
      </c>
      <c r="D27" s="2" t="s">
        <v>140</v>
      </c>
      <c r="E27" s="3">
        <f>0/2</f>
        <v>0</v>
      </c>
      <c r="F27" s="2" t="s">
        <v>52</v>
      </c>
      <c r="G27" s="3">
        <f>2/2</f>
        <v>1</v>
      </c>
      <c r="H27" s="2" t="s">
        <v>88</v>
      </c>
      <c r="I27" s="3">
        <f>1/2</f>
        <v>0.5</v>
      </c>
      <c r="J27" s="2" t="s">
        <v>13</v>
      </c>
      <c r="K27" s="2" t="s">
        <v>13</v>
      </c>
      <c r="L27" s="2" t="s">
        <v>123</v>
      </c>
      <c r="M27" s="3">
        <f>2/10</f>
        <v>0.2</v>
      </c>
      <c r="N27" s="2" t="s">
        <v>88</v>
      </c>
      <c r="O27" s="3">
        <f>1/2</f>
        <v>0.5</v>
      </c>
      <c r="P27" s="2" t="s">
        <v>140</v>
      </c>
      <c r="Q27" s="3">
        <f>0/2</f>
        <v>0</v>
      </c>
      <c r="R27" s="2" t="s">
        <v>52</v>
      </c>
      <c r="S27" s="3">
        <f>2/2</f>
        <v>1</v>
      </c>
      <c r="T27" s="2" t="s">
        <v>88</v>
      </c>
      <c r="U27" s="3">
        <f>1/2</f>
        <v>0.5</v>
      </c>
      <c r="V27" s="2" t="s">
        <v>13</v>
      </c>
      <c r="W27" s="2" t="s">
        <v>13</v>
      </c>
      <c r="X27" s="2" t="s">
        <v>123</v>
      </c>
      <c r="Y27" s="3">
        <f>2/10</f>
        <v>0.2</v>
      </c>
    </row>
    <row r="28" spans="1:25" ht="15.75" x14ac:dyDescent="0.25">
      <c r="A28" s="6" t="s">
        <v>108</v>
      </c>
      <c r="B28" s="14" t="s">
        <v>9</v>
      </c>
      <c r="C28" s="9"/>
      <c r="D28" s="10"/>
      <c r="E28" s="10"/>
      <c r="F28" s="10"/>
      <c r="G28" s="10"/>
      <c r="H28" s="9"/>
      <c r="I28" s="9"/>
      <c r="J28" s="10"/>
      <c r="K28" s="10"/>
      <c r="L28" s="10"/>
      <c r="M28" s="10"/>
      <c r="N28" s="9"/>
      <c r="O28" s="9"/>
      <c r="P28" s="10"/>
      <c r="Q28" s="10"/>
      <c r="R28" s="10"/>
      <c r="S28" s="10"/>
      <c r="T28" s="9"/>
      <c r="U28" s="9"/>
      <c r="V28" s="4"/>
      <c r="W28" s="10"/>
      <c r="X28" s="4"/>
      <c r="Y28" s="10"/>
    </row>
    <row r="29" spans="1:25" x14ac:dyDescent="0.25">
      <c r="B29" s="9"/>
      <c r="C29" s="9"/>
      <c r="D29" s="10"/>
      <c r="E29" s="10"/>
      <c r="F29" s="10"/>
      <c r="G29" s="10"/>
      <c r="H29" s="9"/>
      <c r="I29" s="9"/>
      <c r="J29" s="10"/>
      <c r="K29" s="10"/>
      <c r="L29" s="10"/>
      <c r="M29" s="10"/>
      <c r="N29" s="9"/>
      <c r="O29" s="9"/>
      <c r="P29" s="10"/>
      <c r="Q29" s="10"/>
      <c r="R29" s="10"/>
      <c r="S29" s="10"/>
      <c r="T29" s="9"/>
      <c r="U29" s="9"/>
      <c r="V29" s="4"/>
      <c r="W29" s="10"/>
      <c r="X29" s="4"/>
      <c r="Y29" s="10"/>
    </row>
    <row r="30" spans="1:25" ht="15.75" x14ac:dyDescent="0.25">
      <c r="A30" s="6" t="s">
        <v>30</v>
      </c>
      <c r="B30" s="2" t="s">
        <v>133</v>
      </c>
      <c r="C30" s="3">
        <f>42/48</f>
        <v>0.875</v>
      </c>
      <c r="D30" s="2" t="s">
        <v>151</v>
      </c>
      <c r="E30" s="3">
        <f>19/48</f>
        <v>0.39583333333333331</v>
      </c>
      <c r="F30" s="2" t="s">
        <v>134</v>
      </c>
      <c r="G30" s="3">
        <f>39/48</f>
        <v>0.8125</v>
      </c>
      <c r="H30" s="2" t="s">
        <v>135</v>
      </c>
      <c r="I30" s="3">
        <f>42/44</f>
        <v>0.95454545454545459</v>
      </c>
      <c r="J30" s="2" t="s">
        <v>149</v>
      </c>
      <c r="K30" s="3">
        <f>19/22</f>
        <v>0.86363636363636365</v>
      </c>
      <c r="L30" s="2" t="s">
        <v>136</v>
      </c>
      <c r="M30" s="3">
        <f>39/69</f>
        <v>0.56521739130434778</v>
      </c>
      <c r="N30" s="2" t="s">
        <v>137</v>
      </c>
      <c r="O30" s="3">
        <f>42/52</f>
        <v>0.80769230769230771</v>
      </c>
      <c r="P30" s="2" t="s">
        <v>65</v>
      </c>
      <c r="Q30" s="3">
        <f>20/52</f>
        <v>0.38461538461538464</v>
      </c>
      <c r="R30" s="2" t="s">
        <v>138</v>
      </c>
      <c r="S30" s="3">
        <f>44/52</f>
        <v>0.84615384615384615</v>
      </c>
      <c r="T30" s="2" t="s">
        <v>135</v>
      </c>
      <c r="U30" s="3">
        <f>42/44</f>
        <v>0.95454545454545459</v>
      </c>
      <c r="V30" s="2" t="s">
        <v>93</v>
      </c>
      <c r="W30" s="3">
        <f>20/23</f>
        <v>0.86956521739130432</v>
      </c>
      <c r="X30" s="2" t="s">
        <v>139</v>
      </c>
      <c r="Y30" s="3">
        <f>44/82</f>
        <v>0.53658536585365857</v>
      </c>
    </row>
  </sheetData>
  <mergeCells count="24">
    <mergeCell ref="V3:W3"/>
    <mergeCell ref="D20:E20"/>
    <mergeCell ref="J20:K20"/>
    <mergeCell ref="P20:Q20"/>
    <mergeCell ref="V20:W20"/>
    <mergeCell ref="T3:U3"/>
    <mergeCell ref="J3:K3"/>
    <mergeCell ref="P3:Q3"/>
    <mergeCell ref="X3:Y3"/>
    <mergeCell ref="B20:C20"/>
    <mergeCell ref="F20:G20"/>
    <mergeCell ref="H20:I20"/>
    <mergeCell ref="L20:M20"/>
    <mergeCell ref="N20:O20"/>
    <mergeCell ref="R20:S20"/>
    <mergeCell ref="T20:U20"/>
    <mergeCell ref="X20:Y20"/>
    <mergeCell ref="B3:C3"/>
    <mergeCell ref="F3:G3"/>
    <mergeCell ref="H3:I3"/>
    <mergeCell ref="L3:M3"/>
    <mergeCell ref="N3:O3"/>
    <mergeCell ref="R3:S3"/>
    <mergeCell ref="D3:E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0"/>
  <sheetViews>
    <sheetView topLeftCell="H1" zoomScaleNormal="100" workbookViewId="0">
      <selection activeCell="N1" sqref="N1:N1048576"/>
    </sheetView>
  </sheetViews>
  <sheetFormatPr baseColWidth="10" defaultRowHeight="15" x14ac:dyDescent="0.25"/>
  <cols>
    <col min="2" max="25" width="12.7109375" customWidth="1"/>
  </cols>
  <sheetData>
    <row r="1" spans="1:25" ht="18.75" x14ac:dyDescent="0.3">
      <c r="A1" s="7" t="s">
        <v>0</v>
      </c>
    </row>
    <row r="2" spans="1:25" ht="15.75" x14ac:dyDescent="0.25">
      <c r="A2" s="6"/>
    </row>
    <row r="3" spans="1:25" ht="15.75" x14ac:dyDescent="0.25">
      <c r="B3" s="15" t="s">
        <v>1</v>
      </c>
      <c r="C3" s="15"/>
      <c r="D3" s="16" t="s">
        <v>41</v>
      </c>
      <c r="E3" s="16"/>
      <c r="F3" s="15" t="s">
        <v>2</v>
      </c>
      <c r="G3" s="15"/>
      <c r="H3" s="15" t="s">
        <v>3</v>
      </c>
      <c r="I3" s="15"/>
      <c r="J3" s="15" t="s">
        <v>42</v>
      </c>
      <c r="K3" s="15"/>
      <c r="L3" s="15" t="s">
        <v>4</v>
      </c>
      <c r="M3" s="15"/>
      <c r="N3" s="15" t="s">
        <v>5</v>
      </c>
      <c r="O3" s="15"/>
      <c r="P3" s="15" t="s">
        <v>43</v>
      </c>
      <c r="Q3" s="15"/>
      <c r="R3" s="15" t="s">
        <v>6</v>
      </c>
      <c r="S3" s="15"/>
      <c r="T3" s="15" t="s">
        <v>7</v>
      </c>
      <c r="U3" s="15"/>
      <c r="V3" s="15" t="s">
        <v>44</v>
      </c>
      <c r="W3" s="15"/>
      <c r="X3" s="15" t="s">
        <v>8</v>
      </c>
      <c r="Y3" s="15"/>
    </row>
    <row r="4" spans="1:25" ht="15.75" x14ac:dyDescent="0.25">
      <c r="A4" s="6" t="s">
        <v>106</v>
      </c>
      <c r="B4" s="2" t="s">
        <v>23</v>
      </c>
      <c r="C4" s="3">
        <f>8/8</f>
        <v>1</v>
      </c>
      <c r="D4" s="2" t="s">
        <v>80</v>
      </c>
      <c r="E4" s="3">
        <f>2/8</f>
        <v>0.25</v>
      </c>
      <c r="F4" s="2" t="s">
        <v>36</v>
      </c>
      <c r="G4" s="3">
        <f>6/8</f>
        <v>0.75</v>
      </c>
      <c r="H4" s="2" t="s">
        <v>23</v>
      </c>
      <c r="I4" s="3">
        <f>8/8</f>
        <v>1</v>
      </c>
      <c r="J4" s="2" t="s">
        <v>52</v>
      </c>
      <c r="K4" s="3">
        <f>2/2</f>
        <v>1</v>
      </c>
      <c r="L4" s="2" t="s">
        <v>172</v>
      </c>
      <c r="M4" s="3">
        <f>6/10</f>
        <v>0.6</v>
      </c>
      <c r="N4" s="2" t="s">
        <v>26</v>
      </c>
      <c r="O4" s="3">
        <f>6/7</f>
        <v>0.8571428571428571</v>
      </c>
      <c r="P4" s="2" t="s">
        <v>81</v>
      </c>
      <c r="Q4" s="3">
        <f>2/7</f>
        <v>0.2857142857142857</v>
      </c>
      <c r="R4" s="2" t="s">
        <v>35</v>
      </c>
      <c r="S4" s="3">
        <f>7/7</f>
        <v>1</v>
      </c>
      <c r="T4" s="2" t="s">
        <v>27</v>
      </c>
      <c r="U4" s="3">
        <f>6/6</f>
        <v>1</v>
      </c>
      <c r="V4" s="2" t="s">
        <v>52</v>
      </c>
      <c r="W4" s="3">
        <f>2/2</f>
        <v>1</v>
      </c>
      <c r="X4" s="2" t="s">
        <v>178</v>
      </c>
      <c r="Y4" s="3">
        <f>7/11</f>
        <v>0.63636363636363635</v>
      </c>
    </row>
    <row r="5" spans="1:25" ht="15.75" x14ac:dyDescent="0.25">
      <c r="A5" s="6" t="s">
        <v>10</v>
      </c>
      <c r="B5" s="2" t="s">
        <v>16</v>
      </c>
      <c r="C5" s="3">
        <f>0/1</f>
        <v>0</v>
      </c>
      <c r="D5" s="2" t="s">
        <v>16</v>
      </c>
      <c r="E5" s="3">
        <f>0/1</f>
        <v>0</v>
      </c>
      <c r="F5" s="2" t="s">
        <v>15</v>
      </c>
      <c r="G5" s="3">
        <f>1/1</f>
        <v>1</v>
      </c>
      <c r="H5" s="2" t="s">
        <v>16</v>
      </c>
      <c r="I5" s="3">
        <f>0/1</f>
        <v>0</v>
      </c>
      <c r="J5" s="2" t="s">
        <v>13</v>
      </c>
      <c r="K5" s="2" t="s">
        <v>13</v>
      </c>
      <c r="L5" s="2" t="s">
        <v>15</v>
      </c>
      <c r="M5" s="3">
        <f>1/1</f>
        <v>1</v>
      </c>
      <c r="N5" s="2" t="s">
        <v>16</v>
      </c>
      <c r="O5" s="3">
        <f>0/1</f>
        <v>0</v>
      </c>
      <c r="P5" s="2" t="s">
        <v>16</v>
      </c>
      <c r="Q5" s="3">
        <f>0/1</f>
        <v>0</v>
      </c>
      <c r="R5" s="2" t="s">
        <v>15</v>
      </c>
      <c r="S5" s="3">
        <f>1/1</f>
        <v>1</v>
      </c>
      <c r="T5" s="2" t="s">
        <v>13</v>
      </c>
      <c r="U5" s="2" t="s">
        <v>13</v>
      </c>
      <c r="V5" s="2" t="s">
        <v>13</v>
      </c>
      <c r="W5" s="2" t="s">
        <v>13</v>
      </c>
      <c r="X5" s="2" t="s">
        <v>15</v>
      </c>
      <c r="Y5" s="3">
        <f>1/1</f>
        <v>1</v>
      </c>
    </row>
    <row r="6" spans="1:25" ht="15.75" x14ac:dyDescent="0.25">
      <c r="A6" s="6" t="s">
        <v>14</v>
      </c>
      <c r="B6" s="2" t="s">
        <v>15</v>
      </c>
      <c r="C6" s="3">
        <f>1/1</f>
        <v>1</v>
      </c>
      <c r="D6" s="2" t="s">
        <v>16</v>
      </c>
      <c r="E6" s="3">
        <f>0/1</f>
        <v>0</v>
      </c>
      <c r="F6" s="2" t="s">
        <v>16</v>
      </c>
      <c r="G6" s="3">
        <f>0/1</f>
        <v>0</v>
      </c>
      <c r="H6" s="2" t="s">
        <v>15</v>
      </c>
      <c r="I6" s="3">
        <f>1/1</f>
        <v>1</v>
      </c>
      <c r="J6" s="2" t="s">
        <v>13</v>
      </c>
      <c r="K6" s="2" t="s">
        <v>13</v>
      </c>
      <c r="L6" s="2" t="s">
        <v>13</v>
      </c>
      <c r="M6" s="2" t="s">
        <v>13</v>
      </c>
      <c r="N6" s="2" t="s">
        <v>13</v>
      </c>
      <c r="O6" s="2" t="s">
        <v>13</v>
      </c>
      <c r="P6" s="2" t="s">
        <v>13</v>
      </c>
      <c r="Q6" s="2" t="s">
        <v>13</v>
      </c>
      <c r="R6" s="2" t="s">
        <v>13</v>
      </c>
      <c r="S6" s="2" t="s">
        <v>13</v>
      </c>
      <c r="T6" s="2" t="s">
        <v>13</v>
      </c>
      <c r="U6" s="2" t="s">
        <v>13</v>
      </c>
      <c r="V6" s="2" t="s">
        <v>13</v>
      </c>
      <c r="W6" s="2" t="s">
        <v>13</v>
      </c>
      <c r="X6" s="2" t="s">
        <v>13</v>
      </c>
      <c r="Y6" s="2" t="s">
        <v>13</v>
      </c>
    </row>
    <row r="7" spans="1:25" ht="15.75" x14ac:dyDescent="0.25">
      <c r="A7" s="6" t="s">
        <v>17</v>
      </c>
      <c r="B7" s="2" t="s">
        <v>88</v>
      </c>
      <c r="C7" s="3">
        <f>1/2</f>
        <v>0.5</v>
      </c>
      <c r="D7" s="2" t="s">
        <v>52</v>
      </c>
      <c r="E7" s="3">
        <f>2/2</f>
        <v>1</v>
      </c>
      <c r="F7" s="2" t="s">
        <v>52</v>
      </c>
      <c r="G7" s="3">
        <f>2/2</f>
        <v>1</v>
      </c>
      <c r="H7" s="2" t="s">
        <v>15</v>
      </c>
      <c r="I7" s="3">
        <f>2/2</f>
        <v>1</v>
      </c>
      <c r="J7" s="2" t="s">
        <v>52</v>
      </c>
      <c r="K7" s="3">
        <f>2/2</f>
        <v>1</v>
      </c>
      <c r="L7" s="2" t="s">
        <v>52</v>
      </c>
      <c r="M7" s="3">
        <f>2/2</f>
        <v>1</v>
      </c>
      <c r="N7" s="2" t="s">
        <v>88</v>
      </c>
      <c r="O7" s="3">
        <f>1/2</f>
        <v>0.5</v>
      </c>
      <c r="P7" s="2" t="s">
        <v>52</v>
      </c>
      <c r="Q7" s="3">
        <f>2/2</f>
        <v>1</v>
      </c>
      <c r="R7" s="2" t="s">
        <v>52</v>
      </c>
      <c r="S7" s="3">
        <f>2/2</f>
        <v>1</v>
      </c>
      <c r="T7" s="2" t="s">
        <v>15</v>
      </c>
      <c r="U7" s="3">
        <f>1/1</f>
        <v>1</v>
      </c>
      <c r="V7" s="2" t="s">
        <v>52</v>
      </c>
      <c r="W7" s="3">
        <f>2/2</f>
        <v>1</v>
      </c>
      <c r="X7" s="2" t="s">
        <v>52</v>
      </c>
      <c r="Y7" s="3">
        <f>2/2</f>
        <v>1</v>
      </c>
    </row>
    <row r="8" spans="1:25" ht="15.75" x14ac:dyDescent="0.25">
      <c r="A8" s="6" t="s">
        <v>18</v>
      </c>
      <c r="B8" s="2" t="s">
        <v>152</v>
      </c>
      <c r="C8" s="3">
        <f>22/23</f>
        <v>0.95652173913043481</v>
      </c>
      <c r="D8" s="2" t="s">
        <v>75</v>
      </c>
      <c r="E8" s="3">
        <f>12/23</f>
        <v>0.52173913043478259</v>
      </c>
      <c r="F8" s="2" t="s">
        <v>56</v>
      </c>
      <c r="G8" s="3">
        <f>21/23</f>
        <v>0.91304347826086951</v>
      </c>
      <c r="H8" s="2" t="s">
        <v>103</v>
      </c>
      <c r="I8" s="3">
        <f>22/24</f>
        <v>0.91666666666666663</v>
      </c>
      <c r="J8" s="2" t="s">
        <v>157</v>
      </c>
      <c r="K8" s="3">
        <f>12/12</f>
        <v>1</v>
      </c>
      <c r="L8" s="2" t="s">
        <v>173</v>
      </c>
      <c r="M8" s="3">
        <f>21/30</f>
        <v>0.7</v>
      </c>
      <c r="N8" s="2" t="s">
        <v>112</v>
      </c>
      <c r="O8" s="3">
        <f>25/27</f>
        <v>0.92592592592592593</v>
      </c>
      <c r="P8" s="2" t="s">
        <v>141</v>
      </c>
      <c r="Q8" s="3">
        <f>13/27</f>
        <v>0.48148148148148145</v>
      </c>
      <c r="R8" s="2" t="s">
        <v>112</v>
      </c>
      <c r="S8" s="3">
        <f>25/27</f>
        <v>0.92592592592592593</v>
      </c>
      <c r="T8" s="2" t="s">
        <v>162</v>
      </c>
      <c r="U8" s="3">
        <f>25/28</f>
        <v>0.8928571428571429</v>
      </c>
      <c r="V8" s="2" t="s">
        <v>54</v>
      </c>
      <c r="W8" s="3">
        <f>13/13</f>
        <v>1</v>
      </c>
      <c r="X8" s="2" t="s">
        <v>179</v>
      </c>
      <c r="Y8" s="3">
        <f>25/36</f>
        <v>0.69444444444444442</v>
      </c>
    </row>
    <row r="9" spans="1:25" ht="15.75" x14ac:dyDescent="0.25">
      <c r="A9" s="6" t="s">
        <v>22</v>
      </c>
      <c r="B9" s="2" t="s">
        <v>153</v>
      </c>
      <c r="C9" s="3">
        <f>9/13</f>
        <v>0.69230769230769229</v>
      </c>
      <c r="D9" s="2" t="s">
        <v>154</v>
      </c>
      <c r="E9" s="3">
        <f>2/13</f>
        <v>0.15384615384615385</v>
      </c>
      <c r="F9" s="2" t="s">
        <v>148</v>
      </c>
      <c r="G9" s="3">
        <f>11/13</f>
        <v>0.84615384615384615</v>
      </c>
      <c r="H9" s="2" t="s">
        <v>28</v>
      </c>
      <c r="I9" s="3">
        <f>9/9</f>
        <v>1</v>
      </c>
      <c r="J9" s="2" t="s">
        <v>52</v>
      </c>
      <c r="K9" s="3">
        <f>2/2</f>
        <v>1</v>
      </c>
      <c r="L9" s="2" t="s">
        <v>174</v>
      </c>
      <c r="M9" s="3">
        <f>11/19</f>
        <v>0.57894736842105265</v>
      </c>
      <c r="N9" s="2" t="s">
        <v>158</v>
      </c>
      <c r="O9" s="3">
        <f>10/17</f>
        <v>0.58823529411764708</v>
      </c>
      <c r="P9" s="2" t="s">
        <v>159</v>
      </c>
      <c r="Q9" s="3">
        <f>2/17</f>
        <v>0.11764705882352941</v>
      </c>
      <c r="R9" s="2" t="s">
        <v>176</v>
      </c>
      <c r="S9" s="3">
        <f>14/17</f>
        <v>0.82352941176470584</v>
      </c>
      <c r="T9" s="2" t="s">
        <v>163</v>
      </c>
      <c r="U9" s="3">
        <f>10/11</f>
        <v>0.90909090909090906</v>
      </c>
      <c r="V9" s="2" t="s">
        <v>52</v>
      </c>
      <c r="W9" s="3">
        <f>2/2</f>
        <v>1</v>
      </c>
      <c r="X9" s="2" t="s">
        <v>180</v>
      </c>
      <c r="Y9" s="3">
        <f>14/22</f>
        <v>0.63636363636363635</v>
      </c>
    </row>
    <row r="10" spans="1:25" ht="15.75" x14ac:dyDescent="0.25">
      <c r="A10" s="6" t="s">
        <v>107</v>
      </c>
      <c r="B10" s="2" t="s">
        <v>15</v>
      </c>
      <c r="C10" s="3">
        <f>1/1</f>
        <v>1</v>
      </c>
      <c r="D10" s="2" t="s">
        <v>16</v>
      </c>
      <c r="E10" s="3">
        <f>0/1</f>
        <v>0</v>
      </c>
      <c r="F10" s="2" t="s">
        <v>15</v>
      </c>
      <c r="G10" s="3">
        <f>1/1</f>
        <v>1</v>
      </c>
      <c r="H10" s="2" t="s">
        <v>15</v>
      </c>
      <c r="I10" s="3">
        <f>1/1</f>
        <v>1</v>
      </c>
      <c r="J10" s="2" t="s">
        <v>13</v>
      </c>
      <c r="K10" s="2" t="s">
        <v>13</v>
      </c>
      <c r="L10" s="2" t="s">
        <v>70</v>
      </c>
      <c r="M10" s="3">
        <f>1/6</f>
        <v>0.16666666666666666</v>
      </c>
      <c r="N10" s="2" t="s">
        <v>15</v>
      </c>
      <c r="O10" s="3">
        <f>1/1</f>
        <v>1</v>
      </c>
      <c r="P10" s="2" t="s">
        <v>16</v>
      </c>
      <c r="Q10" s="3">
        <f>0/1</f>
        <v>0</v>
      </c>
      <c r="R10" s="2" t="s">
        <v>15</v>
      </c>
      <c r="S10" s="3">
        <f>1/1</f>
        <v>1</v>
      </c>
      <c r="T10" s="2" t="s">
        <v>15</v>
      </c>
      <c r="U10" s="3">
        <f>1/1</f>
        <v>1</v>
      </c>
      <c r="V10" s="2" t="s">
        <v>13</v>
      </c>
      <c r="W10" s="2" t="s">
        <v>13</v>
      </c>
      <c r="X10" s="2" t="s">
        <v>70</v>
      </c>
      <c r="Y10" s="3">
        <f>1/6</f>
        <v>0.16666666666666666</v>
      </c>
    </row>
    <row r="11" spans="1:25" ht="15.75" x14ac:dyDescent="0.25">
      <c r="A11" s="6" t="s">
        <v>108</v>
      </c>
      <c r="B11" s="8" t="s">
        <v>9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4"/>
      <c r="W11" s="10"/>
      <c r="X11" s="4"/>
      <c r="Y11" s="10"/>
    </row>
    <row r="12" spans="1:25" x14ac:dyDescent="0.25">
      <c r="B12" s="4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4"/>
      <c r="W12" s="10"/>
      <c r="X12" s="4"/>
      <c r="Y12" s="10"/>
    </row>
    <row r="13" spans="1:25" ht="15.75" x14ac:dyDescent="0.25">
      <c r="A13" s="6" t="s">
        <v>30</v>
      </c>
      <c r="B13" s="2" t="s">
        <v>155</v>
      </c>
      <c r="C13" s="3">
        <f>42/49</f>
        <v>0.8571428571428571</v>
      </c>
      <c r="D13" s="2" t="s">
        <v>156</v>
      </c>
      <c r="E13" s="3">
        <f>18/49</f>
        <v>0.36734693877551022</v>
      </c>
      <c r="F13" s="2" t="s">
        <v>155</v>
      </c>
      <c r="G13" s="3">
        <f>42/49</f>
        <v>0.8571428571428571</v>
      </c>
      <c r="H13" s="2" t="s">
        <v>337</v>
      </c>
      <c r="I13" s="3">
        <f>43/46</f>
        <v>0.93478260869565222</v>
      </c>
      <c r="J13" s="2" t="s">
        <v>48</v>
      </c>
      <c r="K13" s="3">
        <f>18/18</f>
        <v>1</v>
      </c>
      <c r="L13" s="2" t="s">
        <v>175</v>
      </c>
      <c r="M13" s="3">
        <f>42/68</f>
        <v>0.61764705882352944</v>
      </c>
      <c r="N13" s="2" t="s">
        <v>160</v>
      </c>
      <c r="O13" s="3">
        <f>43/55</f>
        <v>0.78181818181818186</v>
      </c>
      <c r="P13" s="2" t="s">
        <v>161</v>
      </c>
      <c r="Q13" s="3">
        <f>19/55</f>
        <v>0.34545454545454546</v>
      </c>
      <c r="R13" s="2" t="s">
        <v>177</v>
      </c>
      <c r="S13" s="3">
        <f>50/55</f>
        <v>0.90909090909090906</v>
      </c>
      <c r="T13" s="2" t="s">
        <v>342</v>
      </c>
      <c r="U13" s="3">
        <f>43/47</f>
        <v>0.91489361702127658</v>
      </c>
      <c r="V13" s="2" t="s">
        <v>73</v>
      </c>
      <c r="W13" s="3">
        <f>19/19</f>
        <v>1</v>
      </c>
      <c r="X13" s="2" t="s">
        <v>181</v>
      </c>
      <c r="Y13" s="3">
        <f>50/78</f>
        <v>0.64102564102564108</v>
      </c>
    </row>
    <row r="14" spans="1:25" x14ac:dyDescent="0.25"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2"/>
      <c r="Y14" s="11"/>
    </row>
    <row r="15" spans="1:25" x14ac:dyDescent="0.25">
      <c r="X15" s="12"/>
      <c r="Y15" s="11"/>
    </row>
    <row r="16" spans="1:25" x14ac:dyDescent="0.25">
      <c r="X16" s="12"/>
      <c r="Y16" s="11"/>
    </row>
    <row r="17" spans="1:25" x14ac:dyDescent="0.25">
      <c r="X17" s="12"/>
      <c r="Y17" s="11"/>
    </row>
    <row r="18" spans="1:25" ht="18.75" x14ac:dyDescent="0.3">
      <c r="A18" s="7" t="s">
        <v>32</v>
      </c>
      <c r="X18" s="12"/>
      <c r="Y18" s="11"/>
    </row>
    <row r="19" spans="1:25" x14ac:dyDescent="0.25">
      <c r="X19" s="13"/>
    </row>
    <row r="20" spans="1:25" ht="15.75" x14ac:dyDescent="0.25">
      <c r="B20" s="15" t="s">
        <v>1</v>
      </c>
      <c r="C20" s="15"/>
      <c r="D20" s="16" t="s">
        <v>41</v>
      </c>
      <c r="E20" s="16"/>
      <c r="F20" s="15" t="s">
        <v>2</v>
      </c>
      <c r="G20" s="15"/>
      <c r="H20" s="15" t="s">
        <v>3</v>
      </c>
      <c r="I20" s="15"/>
      <c r="J20" s="15" t="s">
        <v>42</v>
      </c>
      <c r="K20" s="15"/>
      <c r="L20" s="15" t="s">
        <v>4</v>
      </c>
      <c r="M20" s="15"/>
      <c r="N20" s="15" t="s">
        <v>5</v>
      </c>
      <c r="O20" s="15"/>
      <c r="P20" s="15" t="s">
        <v>43</v>
      </c>
      <c r="Q20" s="15"/>
      <c r="R20" s="15" t="s">
        <v>6</v>
      </c>
      <c r="S20" s="15"/>
      <c r="T20" s="15" t="s">
        <v>7</v>
      </c>
      <c r="U20" s="15"/>
      <c r="V20" s="15" t="s">
        <v>44</v>
      </c>
      <c r="W20" s="15"/>
      <c r="X20" s="15" t="s">
        <v>8</v>
      </c>
      <c r="Y20" s="15"/>
    </row>
    <row r="21" spans="1:25" ht="15.75" x14ac:dyDescent="0.25">
      <c r="A21" s="6" t="s">
        <v>106</v>
      </c>
      <c r="B21" s="2" t="s">
        <v>23</v>
      </c>
      <c r="C21" s="3">
        <f>8/8</f>
        <v>1</v>
      </c>
      <c r="D21" s="2" t="s">
        <v>80</v>
      </c>
      <c r="E21" s="3">
        <f>2/8</f>
        <v>0.25</v>
      </c>
      <c r="F21" s="2" t="s">
        <v>36</v>
      </c>
      <c r="G21" s="3">
        <f>6/8</f>
        <v>0.75</v>
      </c>
      <c r="H21" s="2" t="s">
        <v>23</v>
      </c>
      <c r="I21" s="3">
        <f>8/8</f>
        <v>1</v>
      </c>
      <c r="J21" s="2" t="s">
        <v>52</v>
      </c>
      <c r="K21" s="3">
        <f>2/2</f>
        <v>1</v>
      </c>
      <c r="L21" s="2" t="s">
        <v>172</v>
      </c>
      <c r="M21" s="3">
        <f>6/10</f>
        <v>0.6</v>
      </c>
      <c r="N21" s="2" t="s">
        <v>26</v>
      </c>
      <c r="O21" s="3">
        <f>6/7</f>
        <v>0.8571428571428571</v>
      </c>
      <c r="P21" s="2" t="s">
        <v>81</v>
      </c>
      <c r="Q21" s="3">
        <f>2/7</f>
        <v>0.2857142857142857</v>
      </c>
      <c r="R21" s="2" t="s">
        <v>35</v>
      </c>
      <c r="S21" s="3">
        <f>7/7</f>
        <v>1</v>
      </c>
      <c r="T21" s="2" t="s">
        <v>27</v>
      </c>
      <c r="U21" s="3">
        <f>6/6</f>
        <v>1</v>
      </c>
      <c r="V21" s="2" t="s">
        <v>52</v>
      </c>
      <c r="W21" s="3">
        <f>2/2</f>
        <v>1</v>
      </c>
      <c r="X21" s="2" t="s">
        <v>178</v>
      </c>
      <c r="Y21" s="3">
        <f>7/11</f>
        <v>0.63636363636363635</v>
      </c>
    </row>
    <row r="22" spans="1:25" ht="15.75" x14ac:dyDescent="0.25">
      <c r="A22" s="6" t="s">
        <v>10</v>
      </c>
      <c r="B22" s="2" t="s">
        <v>16</v>
      </c>
      <c r="C22" s="3">
        <f>0/1</f>
        <v>0</v>
      </c>
      <c r="D22" s="2" t="s">
        <v>16</v>
      </c>
      <c r="E22" s="3">
        <f>0/1</f>
        <v>0</v>
      </c>
      <c r="F22" s="2" t="s">
        <v>15</v>
      </c>
      <c r="G22" s="3">
        <f>1/1</f>
        <v>1</v>
      </c>
      <c r="H22" s="2" t="s">
        <v>16</v>
      </c>
      <c r="I22" s="3">
        <f>0/1</f>
        <v>0</v>
      </c>
      <c r="J22" s="2" t="s">
        <v>13</v>
      </c>
      <c r="K22" s="2" t="s">
        <v>13</v>
      </c>
      <c r="L22" s="2" t="s">
        <v>15</v>
      </c>
      <c r="M22" s="3">
        <f>1/1</f>
        <v>1</v>
      </c>
      <c r="N22" s="2" t="s">
        <v>16</v>
      </c>
      <c r="O22" s="3">
        <f>0/1</f>
        <v>0</v>
      </c>
      <c r="P22" s="2" t="s">
        <v>16</v>
      </c>
      <c r="Q22" s="3">
        <f>0/1</f>
        <v>0</v>
      </c>
      <c r="R22" s="2" t="s">
        <v>15</v>
      </c>
      <c r="S22" s="3">
        <f>1/1</f>
        <v>1</v>
      </c>
      <c r="T22" s="2" t="s">
        <v>13</v>
      </c>
      <c r="U22" s="2" t="s">
        <v>13</v>
      </c>
      <c r="V22" s="2" t="s">
        <v>13</v>
      </c>
      <c r="W22" s="2" t="s">
        <v>13</v>
      </c>
      <c r="X22" s="2" t="s">
        <v>15</v>
      </c>
      <c r="Y22" s="3">
        <f>1/1</f>
        <v>1</v>
      </c>
    </row>
    <row r="23" spans="1:25" ht="15.75" x14ac:dyDescent="0.25">
      <c r="A23" s="6" t="s">
        <v>14</v>
      </c>
      <c r="B23" s="2" t="s">
        <v>15</v>
      </c>
      <c r="C23" s="3">
        <f>1/1</f>
        <v>1</v>
      </c>
      <c r="D23" s="2" t="s">
        <v>16</v>
      </c>
      <c r="E23" s="3">
        <f>0/1</f>
        <v>0</v>
      </c>
      <c r="F23" s="2" t="s">
        <v>16</v>
      </c>
      <c r="G23" s="3">
        <f>0/1</f>
        <v>0</v>
      </c>
      <c r="H23" s="2" t="s">
        <v>15</v>
      </c>
      <c r="I23" s="3">
        <f>1/1</f>
        <v>1</v>
      </c>
      <c r="J23" s="2" t="s">
        <v>13</v>
      </c>
      <c r="K23" s="2" t="s">
        <v>13</v>
      </c>
      <c r="L23" s="2" t="s">
        <v>13</v>
      </c>
      <c r="M23" s="2" t="s">
        <v>13</v>
      </c>
      <c r="N23" s="2" t="s">
        <v>13</v>
      </c>
      <c r="O23" s="2" t="s">
        <v>13</v>
      </c>
      <c r="P23" s="2" t="s">
        <v>13</v>
      </c>
      <c r="Q23" s="2" t="s">
        <v>13</v>
      </c>
      <c r="R23" s="2" t="s">
        <v>13</v>
      </c>
      <c r="S23" s="2" t="s">
        <v>13</v>
      </c>
      <c r="T23" s="2" t="s">
        <v>13</v>
      </c>
      <c r="U23" s="2" t="s">
        <v>13</v>
      </c>
      <c r="V23" s="2" t="s">
        <v>13</v>
      </c>
      <c r="W23" s="2" t="s">
        <v>13</v>
      </c>
      <c r="X23" s="2" t="s">
        <v>13</v>
      </c>
      <c r="Y23" s="2" t="s">
        <v>13</v>
      </c>
    </row>
    <row r="24" spans="1:25" ht="15.75" x14ac:dyDescent="0.25">
      <c r="A24" s="6" t="s">
        <v>17</v>
      </c>
      <c r="B24" s="2" t="s">
        <v>88</v>
      </c>
      <c r="C24" s="3">
        <f>1/2</f>
        <v>0.5</v>
      </c>
      <c r="D24" s="2" t="s">
        <v>52</v>
      </c>
      <c r="E24" s="3">
        <f>2/2</f>
        <v>1</v>
      </c>
      <c r="F24" s="2" t="s">
        <v>52</v>
      </c>
      <c r="G24" s="3">
        <f>2/2</f>
        <v>1</v>
      </c>
      <c r="H24" s="2" t="s">
        <v>52</v>
      </c>
      <c r="I24" s="3">
        <f>2/2</f>
        <v>1</v>
      </c>
      <c r="J24" s="2" t="s">
        <v>52</v>
      </c>
      <c r="K24" s="3">
        <f>2/2</f>
        <v>1</v>
      </c>
      <c r="L24" s="2" t="s">
        <v>52</v>
      </c>
      <c r="M24" s="3">
        <f>2/2</f>
        <v>1</v>
      </c>
      <c r="N24" s="2" t="s">
        <v>88</v>
      </c>
      <c r="O24" s="3">
        <f>1/2</f>
        <v>0.5</v>
      </c>
      <c r="P24" s="2" t="s">
        <v>52</v>
      </c>
      <c r="Q24" s="3">
        <f>2/2</f>
        <v>1</v>
      </c>
      <c r="R24" s="2" t="s">
        <v>52</v>
      </c>
      <c r="S24" s="3">
        <f>2/2</f>
        <v>1</v>
      </c>
      <c r="T24" s="2" t="s">
        <v>15</v>
      </c>
      <c r="U24" s="3">
        <f>1/1</f>
        <v>1</v>
      </c>
      <c r="V24" s="2" t="s">
        <v>52</v>
      </c>
      <c r="W24" s="3">
        <f>2/2</f>
        <v>1</v>
      </c>
      <c r="X24" s="2" t="s">
        <v>52</v>
      </c>
      <c r="Y24" s="3">
        <f>2/2</f>
        <v>1</v>
      </c>
    </row>
    <row r="25" spans="1:25" ht="15.75" x14ac:dyDescent="0.25">
      <c r="A25" s="6" t="s">
        <v>18</v>
      </c>
      <c r="B25" s="2" t="s">
        <v>117</v>
      </c>
      <c r="C25" s="3">
        <f>13/14</f>
        <v>0.9285714285714286</v>
      </c>
      <c r="D25" s="2" t="s">
        <v>165</v>
      </c>
      <c r="E25" s="3">
        <f>9/14</f>
        <v>0.6428571428571429</v>
      </c>
      <c r="F25" s="2" t="s">
        <v>117</v>
      </c>
      <c r="G25" s="3">
        <f>13/14</f>
        <v>0.9285714285714286</v>
      </c>
      <c r="H25" s="2" t="s">
        <v>117</v>
      </c>
      <c r="I25" s="3">
        <f>13/14</f>
        <v>0.9285714285714286</v>
      </c>
      <c r="J25" s="2" t="s">
        <v>28</v>
      </c>
      <c r="K25" s="3">
        <f>9/9</f>
        <v>1</v>
      </c>
      <c r="L25" s="2" t="s">
        <v>182</v>
      </c>
      <c r="M25" s="3">
        <f>13/19</f>
        <v>0.68421052631578949</v>
      </c>
      <c r="N25" s="2" t="s">
        <v>168</v>
      </c>
      <c r="O25" s="3">
        <f>15/17</f>
        <v>0.88235294117647056</v>
      </c>
      <c r="P25" s="2" t="s">
        <v>158</v>
      </c>
      <c r="Q25" s="3">
        <f>10/17</f>
        <v>0.58823529411764708</v>
      </c>
      <c r="R25" s="2" t="s">
        <v>121</v>
      </c>
      <c r="S25" s="3">
        <f>16/17</f>
        <v>0.94117647058823528</v>
      </c>
      <c r="T25" s="2" t="s">
        <v>168</v>
      </c>
      <c r="U25" s="3">
        <f>15/17</f>
        <v>0.88235294117647056</v>
      </c>
      <c r="V25" s="2" t="s">
        <v>171</v>
      </c>
      <c r="W25" s="3">
        <f>10/10</f>
        <v>1</v>
      </c>
      <c r="X25" s="2" t="s">
        <v>71</v>
      </c>
      <c r="Y25" s="3">
        <f>16/24</f>
        <v>0.66666666666666663</v>
      </c>
    </row>
    <row r="26" spans="1:25" ht="15.75" x14ac:dyDescent="0.25">
      <c r="A26" s="6" t="s">
        <v>22</v>
      </c>
      <c r="B26" s="2" t="s">
        <v>153</v>
      </c>
      <c r="C26" s="3">
        <f>9/13</f>
        <v>0.69230769230769229</v>
      </c>
      <c r="D26" s="2" t="s">
        <v>154</v>
      </c>
      <c r="E26" s="3">
        <f>2/13</f>
        <v>0.15384615384615385</v>
      </c>
      <c r="F26" s="2" t="s">
        <v>148</v>
      </c>
      <c r="G26" s="3">
        <f>11/13</f>
        <v>0.84615384615384615</v>
      </c>
      <c r="H26" s="2" t="s">
        <v>28</v>
      </c>
      <c r="I26" s="3">
        <f>9/9</f>
        <v>1</v>
      </c>
      <c r="J26" s="2" t="s">
        <v>52</v>
      </c>
      <c r="K26" s="3">
        <f>2/2</f>
        <v>1</v>
      </c>
      <c r="L26" s="2" t="s">
        <v>174</v>
      </c>
      <c r="M26" s="3">
        <f>11/19</f>
        <v>0.57894736842105265</v>
      </c>
      <c r="N26" s="2" t="s">
        <v>158</v>
      </c>
      <c r="O26" s="3">
        <f>10/17</f>
        <v>0.58823529411764708</v>
      </c>
      <c r="P26" s="2" t="s">
        <v>159</v>
      </c>
      <c r="Q26" s="3">
        <f>2/17</f>
        <v>0.11764705882352941</v>
      </c>
      <c r="R26" s="2" t="s">
        <v>176</v>
      </c>
      <c r="S26" s="3">
        <f>14/17</f>
        <v>0.82352941176470584</v>
      </c>
      <c r="T26" s="2" t="s">
        <v>163</v>
      </c>
      <c r="U26" s="3">
        <f>10/11</f>
        <v>0.90909090909090906</v>
      </c>
      <c r="V26" s="2" t="s">
        <v>52</v>
      </c>
      <c r="W26" s="3">
        <f>2/2</f>
        <v>1</v>
      </c>
      <c r="X26" s="2" t="s">
        <v>180</v>
      </c>
      <c r="Y26" s="3">
        <f>14/22</f>
        <v>0.63636363636363635</v>
      </c>
    </row>
    <row r="27" spans="1:25" ht="15.75" x14ac:dyDescent="0.25">
      <c r="A27" s="6" t="s">
        <v>107</v>
      </c>
      <c r="B27" s="2" t="s">
        <v>15</v>
      </c>
      <c r="C27" s="3">
        <f>1/1</f>
        <v>1</v>
      </c>
      <c r="D27" s="2" t="s">
        <v>16</v>
      </c>
      <c r="E27" s="3">
        <f>0/1</f>
        <v>0</v>
      </c>
      <c r="F27" s="2" t="s">
        <v>15</v>
      </c>
      <c r="G27" s="3">
        <f>1/1</f>
        <v>1</v>
      </c>
      <c r="H27" s="2" t="s">
        <v>15</v>
      </c>
      <c r="I27" s="3">
        <f>1/1</f>
        <v>1</v>
      </c>
      <c r="J27" s="2" t="s">
        <v>13</v>
      </c>
      <c r="K27" s="2" t="s">
        <v>13</v>
      </c>
      <c r="L27" s="2" t="s">
        <v>70</v>
      </c>
      <c r="M27" s="3">
        <f>1/6</f>
        <v>0.16666666666666666</v>
      </c>
      <c r="N27" s="2" t="s">
        <v>15</v>
      </c>
      <c r="O27" s="3">
        <f>1/1</f>
        <v>1</v>
      </c>
      <c r="P27" s="2" t="s">
        <v>16</v>
      </c>
      <c r="Q27" s="3">
        <f>0/1</f>
        <v>0</v>
      </c>
      <c r="R27" s="2" t="s">
        <v>15</v>
      </c>
      <c r="S27" s="3">
        <f>1/1</f>
        <v>1</v>
      </c>
      <c r="T27" s="2" t="s">
        <v>15</v>
      </c>
      <c r="U27" s="3">
        <f>1/1</f>
        <v>1</v>
      </c>
      <c r="V27" s="2" t="s">
        <v>13</v>
      </c>
      <c r="W27" s="2" t="s">
        <v>13</v>
      </c>
      <c r="X27" s="2" t="s">
        <v>70</v>
      </c>
      <c r="Y27" s="3">
        <f>1/6</f>
        <v>0.16666666666666666</v>
      </c>
    </row>
    <row r="28" spans="1:25" ht="15.75" x14ac:dyDescent="0.25">
      <c r="A28" s="6" t="s">
        <v>108</v>
      </c>
      <c r="B28" s="14" t="s">
        <v>9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4"/>
      <c r="W28" s="10"/>
      <c r="X28" s="4"/>
      <c r="Y28" s="10"/>
    </row>
    <row r="29" spans="1:25" x14ac:dyDescent="0.25"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4"/>
      <c r="W29" s="10"/>
      <c r="X29" s="4"/>
      <c r="Y29" s="10"/>
    </row>
    <row r="30" spans="1:25" ht="15.75" x14ac:dyDescent="0.25">
      <c r="A30" s="6" t="s">
        <v>30</v>
      </c>
      <c r="B30" s="2" t="s">
        <v>166</v>
      </c>
      <c r="C30" s="3">
        <f>33/40</f>
        <v>0.82499999999999996</v>
      </c>
      <c r="D30" s="2" t="s">
        <v>167</v>
      </c>
      <c r="E30" s="3">
        <f>15/40</f>
        <v>0.375</v>
      </c>
      <c r="F30" s="2" t="s">
        <v>105</v>
      </c>
      <c r="G30" s="3">
        <f>34/40</f>
        <v>0.85</v>
      </c>
      <c r="H30" s="2" t="s">
        <v>37</v>
      </c>
      <c r="I30" s="3">
        <f>34/36</f>
        <v>0.94444444444444442</v>
      </c>
      <c r="J30" s="2" t="s">
        <v>47</v>
      </c>
      <c r="K30" s="3">
        <f>15/15</f>
        <v>1</v>
      </c>
      <c r="L30" s="2" t="s">
        <v>183</v>
      </c>
      <c r="M30" s="3">
        <f>34/57</f>
        <v>0.59649122807017541</v>
      </c>
      <c r="N30" s="2" t="s">
        <v>169</v>
      </c>
      <c r="O30" s="3">
        <f>33/45</f>
        <v>0.73333333333333328</v>
      </c>
      <c r="P30" s="2" t="s">
        <v>170</v>
      </c>
      <c r="Q30" s="3">
        <f>16/45</f>
        <v>0.35555555555555557</v>
      </c>
      <c r="R30" s="2" t="s">
        <v>184</v>
      </c>
      <c r="S30" s="3">
        <f>41/45</f>
        <v>0.91111111111111109</v>
      </c>
      <c r="T30" s="2" t="s">
        <v>299</v>
      </c>
      <c r="U30" s="3">
        <f>33/36</f>
        <v>0.91666666666666663</v>
      </c>
      <c r="V30" s="2" t="s">
        <v>57</v>
      </c>
      <c r="W30" s="3">
        <f>16/16</f>
        <v>1</v>
      </c>
      <c r="X30" s="2" t="s">
        <v>185</v>
      </c>
      <c r="Y30" s="3">
        <f>41/66</f>
        <v>0.62121212121212122</v>
      </c>
    </row>
  </sheetData>
  <mergeCells count="24">
    <mergeCell ref="X20:Y20"/>
    <mergeCell ref="B20:C20"/>
    <mergeCell ref="D20:E20"/>
    <mergeCell ref="F20:G20"/>
    <mergeCell ref="H20:I20"/>
    <mergeCell ref="J20:K20"/>
    <mergeCell ref="L20:M20"/>
    <mergeCell ref="N20:O20"/>
    <mergeCell ref="P20:Q20"/>
    <mergeCell ref="R20:S20"/>
    <mergeCell ref="T20:U20"/>
    <mergeCell ref="V20:W20"/>
    <mergeCell ref="X3:Y3"/>
    <mergeCell ref="B3:C3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V3:W3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0"/>
  <sheetViews>
    <sheetView topLeftCell="H1" workbookViewId="0">
      <selection activeCell="N1" sqref="N1:N1048576"/>
    </sheetView>
  </sheetViews>
  <sheetFormatPr baseColWidth="10" defaultRowHeight="15" x14ac:dyDescent="0.25"/>
  <cols>
    <col min="2" max="25" width="12.7109375" customWidth="1"/>
  </cols>
  <sheetData>
    <row r="1" spans="1:25" ht="18.75" x14ac:dyDescent="0.3">
      <c r="A1" s="7" t="s">
        <v>0</v>
      </c>
    </row>
    <row r="2" spans="1:25" ht="15.75" x14ac:dyDescent="0.25">
      <c r="A2" s="6"/>
    </row>
    <row r="3" spans="1:25" ht="15.75" x14ac:dyDescent="0.25">
      <c r="B3" s="15" t="s">
        <v>1</v>
      </c>
      <c r="C3" s="15"/>
      <c r="D3" s="16" t="s">
        <v>41</v>
      </c>
      <c r="E3" s="16"/>
      <c r="F3" s="15" t="s">
        <v>2</v>
      </c>
      <c r="G3" s="15"/>
      <c r="H3" s="15" t="s">
        <v>3</v>
      </c>
      <c r="I3" s="15"/>
      <c r="J3" s="15" t="s">
        <v>42</v>
      </c>
      <c r="K3" s="15"/>
      <c r="L3" s="15" t="s">
        <v>4</v>
      </c>
      <c r="M3" s="15"/>
      <c r="N3" s="15" t="s">
        <v>5</v>
      </c>
      <c r="O3" s="15"/>
      <c r="P3" s="15" t="s">
        <v>43</v>
      </c>
      <c r="Q3" s="15"/>
      <c r="R3" s="15" t="s">
        <v>6</v>
      </c>
      <c r="S3" s="15"/>
      <c r="T3" s="15" t="s">
        <v>7</v>
      </c>
      <c r="U3" s="15"/>
      <c r="V3" s="15" t="s">
        <v>44</v>
      </c>
      <c r="W3" s="15"/>
      <c r="X3" s="15" t="s">
        <v>8</v>
      </c>
      <c r="Y3" s="15"/>
    </row>
    <row r="4" spans="1:25" ht="15.75" x14ac:dyDescent="0.25">
      <c r="A4" s="6" t="s">
        <v>106</v>
      </c>
      <c r="B4" s="2" t="s">
        <v>77</v>
      </c>
      <c r="C4" s="3">
        <f>8/10</f>
        <v>0.8</v>
      </c>
      <c r="D4" s="2" t="s">
        <v>123</v>
      </c>
      <c r="E4" s="3">
        <f>2/10</f>
        <v>0.2</v>
      </c>
      <c r="F4" s="2" t="s">
        <v>109</v>
      </c>
      <c r="G4" s="3">
        <f>7/10</f>
        <v>0.7</v>
      </c>
      <c r="H4" s="2" t="s">
        <v>64</v>
      </c>
      <c r="I4" s="3">
        <f>8/9</f>
        <v>0.88888888888888884</v>
      </c>
      <c r="J4" s="2" t="s">
        <v>52</v>
      </c>
      <c r="K4" s="3">
        <f>2/2</f>
        <v>1</v>
      </c>
      <c r="L4" s="2" t="s">
        <v>25</v>
      </c>
      <c r="M4" s="3">
        <f>7/9</f>
        <v>0.77777777777777779</v>
      </c>
      <c r="N4" s="2" t="s">
        <v>77</v>
      </c>
      <c r="O4" s="3">
        <f>8/10</f>
        <v>0.8</v>
      </c>
      <c r="P4" s="2" t="s">
        <v>123</v>
      </c>
      <c r="Q4" s="3">
        <f>2/10</f>
        <v>0.2</v>
      </c>
      <c r="R4" s="2" t="s">
        <v>109</v>
      </c>
      <c r="S4" s="3">
        <f>7/10</f>
        <v>0.7</v>
      </c>
      <c r="T4" s="2" t="s">
        <v>64</v>
      </c>
      <c r="U4" s="3">
        <f>8/9</f>
        <v>0.88888888888888884</v>
      </c>
      <c r="V4" s="2" t="s">
        <v>52</v>
      </c>
      <c r="W4" s="3">
        <f>2/2</f>
        <v>1</v>
      </c>
      <c r="X4" s="2" t="s">
        <v>109</v>
      </c>
      <c r="Y4" s="3">
        <f>7/10</f>
        <v>0.7</v>
      </c>
    </row>
    <row r="5" spans="1:25" ht="15.75" x14ac:dyDescent="0.25">
      <c r="A5" s="6" t="s">
        <v>10</v>
      </c>
      <c r="B5" s="2" t="s">
        <v>13</v>
      </c>
      <c r="C5" s="2" t="s">
        <v>13</v>
      </c>
      <c r="D5" s="2" t="s">
        <v>13</v>
      </c>
      <c r="E5" s="2" t="s">
        <v>13</v>
      </c>
      <c r="F5" s="2" t="s">
        <v>13</v>
      </c>
      <c r="G5" s="2" t="s">
        <v>13</v>
      </c>
      <c r="H5" s="2" t="s">
        <v>16</v>
      </c>
      <c r="I5" s="3">
        <f>0/1</f>
        <v>0</v>
      </c>
      <c r="J5" s="2" t="s">
        <v>13</v>
      </c>
      <c r="K5" s="2" t="s">
        <v>13</v>
      </c>
      <c r="L5" s="2" t="s">
        <v>13</v>
      </c>
      <c r="M5" s="2" t="s">
        <v>13</v>
      </c>
      <c r="N5" s="2" t="s">
        <v>13</v>
      </c>
      <c r="O5" s="2" t="s">
        <v>13</v>
      </c>
      <c r="P5" s="2" t="s">
        <v>13</v>
      </c>
      <c r="Q5" s="2" t="s">
        <v>13</v>
      </c>
      <c r="R5" s="2" t="s">
        <v>13</v>
      </c>
      <c r="S5" s="2" t="s">
        <v>13</v>
      </c>
      <c r="T5" s="2" t="s">
        <v>16</v>
      </c>
      <c r="U5" s="3">
        <f>0/1</f>
        <v>0</v>
      </c>
      <c r="V5" s="2" t="s">
        <v>13</v>
      </c>
      <c r="W5" s="2" t="s">
        <v>13</v>
      </c>
      <c r="X5" s="2" t="s">
        <v>13</v>
      </c>
      <c r="Y5" s="2" t="s">
        <v>13</v>
      </c>
    </row>
    <row r="6" spans="1:25" ht="15.75" x14ac:dyDescent="0.25">
      <c r="A6" s="6" t="s">
        <v>14</v>
      </c>
      <c r="B6" s="2" t="s">
        <v>52</v>
      </c>
      <c r="C6" s="3">
        <f>2/2</f>
        <v>1</v>
      </c>
      <c r="D6" s="2" t="s">
        <v>140</v>
      </c>
      <c r="E6" s="3">
        <f>0/2</f>
        <v>0</v>
      </c>
      <c r="F6" s="2" t="s">
        <v>140</v>
      </c>
      <c r="G6" s="3">
        <f>0/2</f>
        <v>0</v>
      </c>
      <c r="H6" s="2" t="s">
        <v>52</v>
      </c>
      <c r="I6" s="3">
        <f>2/2</f>
        <v>1</v>
      </c>
      <c r="J6" s="2" t="s">
        <v>13</v>
      </c>
      <c r="K6" s="2" t="s">
        <v>13</v>
      </c>
      <c r="L6" s="2" t="s">
        <v>13</v>
      </c>
      <c r="M6" s="2" t="s">
        <v>13</v>
      </c>
      <c r="N6" s="2" t="s">
        <v>13</v>
      </c>
      <c r="O6" s="2" t="s">
        <v>13</v>
      </c>
      <c r="P6" s="2" t="s">
        <v>13</v>
      </c>
      <c r="Q6" s="2" t="s">
        <v>13</v>
      </c>
      <c r="R6" s="2" t="s">
        <v>13</v>
      </c>
      <c r="S6" s="2" t="s">
        <v>13</v>
      </c>
      <c r="T6" s="2" t="s">
        <v>13</v>
      </c>
      <c r="U6" s="2" t="s">
        <v>13</v>
      </c>
      <c r="V6" s="2" t="s">
        <v>13</v>
      </c>
      <c r="W6" s="2" t="s">
        <v>13</v>
      </c>
      <c r="X6" s="2" t="s">
        <v>13</v>
      </c>
      <c r="Y6" s="2" t="s">
        <v>13</v>
      </c>
    </row>
    <row r="7" spans="1:25" ht="15.75" x14ac:dyDescent="0.25">
      <c r="A7" s="6" t="s">
        <v>17</v>
      </c>
      <c r="B7" s="2" t="s">
        <v>52</v>
      </c>
      <c r="C7" s="3">
        <f>2/2</f>
        <v>1</v>
      </c>
      <c r="D7" s="2" t="s">
        <v>88</v>
      </c>
      <c r="E7" s="3">
        <f>1/2</f>
        <v>0.5</v>
      </c>
      <c r="F7" s="2" t="s">
        <v>52</v>
      </c>
      <c r="G7" s="3">
        <f t="shared" ref="G7" si="0">2/2</f>
        <v>1</v>
      </c>
      <c r="H7" s="2" t="s">
        <v>52</v>
      </c>
      <c r="I7" s="3">
        <f t="shared" ref="I7" si="1">2/2</f>
        <v>1</v>
      </c>
      <c r="J7" s="2" t="s">
        <v>15</v>
      </c>
      <c r="K7" s="3">
        <f>1/1</f>
        <v>1</v>
      </c>
      <c r="L7" s="2" t="s">
        <v>52</v>
      </c>
      <c r="M7" s="3">
        <f t="shared" ref="M7" si="2">2/2</f>
        <v>1</v>
      </c>
      <c r="N7" s="2" t="s">
        <v>88</v>
      </c>
      <c r="O7" s="3">
        <f>1/2</f>
        <v>0.5</v>
      </c>
      <c r="P7" s="2" t="s">
        <v>88</v>
      </c>
      <c r="Q7" s="3">
        <f>1/2</f>
        <v>0.5</v>
      </c>
      <c r="R7" s="2" t="s">
        <v>52</v>
      </c>
      <c r="S7" s="3">
        <f t="shared" ref="S7" si="3">2/2</f>
        <v>1</v>
      </c>
      <c r="T7" s="2" t="s">
        <v>88</v>
      </c>
      <c r="U7" s="3">
        <f>1/2</f>
        <v>0.5</v>
      </c>
      <c r="V7" s="2" t="s">
        <v>15</v>
      </c>
      <c r="W7" s="3">
        <f>1/1</f>
        <v>1</v>
      </c>
      <c r="X7" s="2" t="s">
        <v>52</v>
      </c>
      <c r="Y7" s="3">
        <f>2/2</f>
        <v>1</v>
      </c>
    </row>
    <row r="8" spans="1:25" ht="15.75" x14ac:dyDescent="0.25">
      <c r="A8" s="6" t="s">
        <v>18</v>
      </c>
      <c r="B8" s="2" t="s">
        <v>186</v>
      </c>
      <c r="C8" s="3">
        <f>24/26</f>
        <v>0.92307692307692313</v>
      </c>
      <c r="D8" s="2" t="s">
        <v>334</v>
      </c>
      <c r="E8" s="3">
        <f>14/26</f>
        <v>0.53846153846153844</v>
      </c>
      <c r="F8" s="2" t="s">
        <v>204</v>
      </c>
      <c r="G8" s="3">
        <f>26/26</f>
        <v>1</v>
      </c>
      <c r="H8" s="2" t="s">
        <v>189</v>
      </c>
      <c r="I8" s="3">
        <f>24/25</f>
        <v>0.96</v>
      </c>
      <c r="J8" s="2" t="s">
        <v>95</v>
      </c>
      <c r="K8" s="3">
        <f>14/14</f>
        <v>1</v>
      </c>
      <c r="L8" s="2" t="s">
        <v>206</v>
      </c>
      <c r="M8" s="3">
        <f>26/37</f>
        <v>0.70270270270270274</v>
      </c>
      <c r="N8" s="2" t="s">
        <v>191</v>
      </c>
      <c r="O8" s="3">
        <f>28/31</f>
        <v>0.90322580645161288</v>
      </c>
      <c r="P8" s="2" t="s">
        <v>192</v>
      </c>
      <c r="Q8" s="3">
        <f>14/31</f>
        <v>0.45161290322580644</v>
      </c>
      <c r="R8" s="2" t="s">
        <v>209</v>
      </c>
      <c r="S8" s="3">
        <f>29/31</f>
        <v>0.93548387096774188</v>
      </c>
      <c r="T8" s="2" t="s">
        <v>101</v>
      </c>
      <c r="U8" s="3">
        <f>28/30</f>
        <v>0.93333333333333335</v>
      </c>
      <c r="V8" s="2" t="s">
        <v>95</v>
      </c>
      <c r="W8" s="3">
        <f>14/14</f>
        <v>1</v>
      </c>
      <c r="X8" s="2" t="s">
        <v>212</v>
      </c>
      <c r="Y8" s="3">
        <f>29/45</f>
        <v>0.64444444444444449</v>
      </c>
    </row>
    <row r="9" spans="1:25" ht="15.75" x14ac:dyDescent="0.25">
      <c r="A9" s="6" t="s">
        <v>22</v>
      </c>
      <c r="B9" s="2" t="s">
        <v>57</v>
      </c>
      <c r="C9" s="3">
        <f>16/16</f>
        <v>1</v>
      </c>
      <c r="D9" s="2" t="s">
        <v>187</v>
      </c>
      <c r="E9" s="3">
        <f>4/16</f>
        <v>0.25</v>
      </c>
      <c r="F9" s="2" t="s">
        <v>205</v>
      </c>
      <c r="G9" s="3">
        <f>12/16</f>
        <v>0.75</v>
      </c>
      <c r="H9" s="2" t="s">
        <v>57</v>
      </c>
      <c r="I9" s="3">
        <f>16/16</f>
        <v>1</v>
      </c>
      <c r="J9" s="2" t="s">
        <v>49</v>
      </c>
      <c r="K9" s="3">
        <f>4/4</f>
        <v>1</v>
      </c>
      <c r="L9" s="2" t="s">
        <v>207</v>
      </c>
      <c r="M9" s="3">
        <f>12/19</f>
        <v>0.63157894736842102</v>
      </c>
      <c r="N9" s="2" t="s">
        <v>66</v>
      </c>
      <c r="O9" s="3">
        <f>17/18</f>
        <v>0.94444444444444442</v>
      </c>
      <c r="P9" s="2" t="s">
        <v>193</v>
      </c>
      <c r="Q9" s="3">
        <f>5/18</f>
        <v>0.27777777777777779</v>
      </c>
      <c r="R9" s="2" t="s">
        <v>210</v>
      </c>
      <c r="S9" s="3">
        <f>13/18</f>
        <v>0.72222222222222221</v>
      </c>
      <c r="T9" s="2" t="s">
        <v>67</v>
      </c>
      <c r="U9" s="3">
        <f>17/17</f>
        <v>1</v>
      </c>
      <c r="V9" s="2" t="s">
        <v>12</v>
      </c>
      <c r="W9" s="3">
        <f>5/5</f>
        <v>1</v>
      </c>
      <c r="X9" s="2" t="s">
        <v>53</v>
      </c>
      <c r="Y9" s="3">
        <f>13/20</f>
        <v>0.65</v>
      </c>
    </row>
    <row r="10" spans="1:25" ht="15.75" x14ac:dyDescent="0.25">
      <c r="A10" s="6" t="s">
        <v>107</v>
      </c>
      <c r="B10" s="2" t="s">
        <v>52</v>
      </c>
      <c r="C10" s="3">
        <f>2/2</f>
        <v>1</v>
      </c>
      <c r="D10" s="2" t="s">
        <v>140</v>
      </c>
      <c r="E10" s="3">
        <f>0/2</f>
        <v>0</v>
      </c>
      <c r="F10" s="2" t="s">
        <v>52</v>
      </c>
      <c r="G10" s="3">
        <f>2/2</f>
        <v>1</v>
      </c>
      <c r="H10" s="2" t="s">
        <v>52</v>
      </c>
      <c r="I10" s="3">
        <f>2/2</f>
        <v>1</v>
      </c>
      <c r="J10" s="2" t="s">
        <v>13</v>
      </c>
      <c r="K10" s="2" t="s">
        <v>13</v>
      </c>
      <c r="L10" s="2" t="s">
        <v>123</v>
      </c>
      <c r="M10" s="3">
        <f>2/10</f>
        <v>0.2</v>
      </c>
      <c r="N10" s="2" t="s">
        <v>52</v>
      </c>
      <c r="O10" s="3">
        <f>2/2</f>
        <v>1</v>
      </c>
      <c r="P10" s="2" t="s">
        <v>140</v>
      </c>
      <c r="Q10" s="3">
        <f>0/2</f>
        <v>0</v>
      </c>
      <c r="R10" s="2" t="s">
        <v>52</v>
      </c>
      <c r="S10" s="3">
        <f>2/2</f>
        <v>1</v>
      </c>
      <c r="T10" s="2" t="s">
        <v>52</v>
      </c>
      <c r="U10" s="3">
        <f>2/2</f>
        <v>1</v>
      </c>
      <c r="V10" s="2" t="s">
        <v>13</v>
      </c>
      <c r="W10" s="2" t="s">
        <v>13</v>
      </c>
      <c r="X10" s="2" t="s">
        <v>213</v>
      </c>
      <c r="Y10" s="3">
        <f>2/11</f>
        <v>0.18181818181818182</v>
      </c>
    </row>
    <row r="11" spans="1:25" ht="15.75" x14ac:dyDescent="0.25">
      <c r="A11" s="6" t="s">
        <v>108</v>
      </c>
      <c r="B11" s="2" t="s">
        <v>15</v>
      </c>
      <c r="C11" s="3">
        <f>1/1</f>
        <v>1</v>
      </c>
      <c r="D11" s="9" t="s">
        <v>16</v>
      </c>
      <c r="E11" s="3">
        <f>0/1</f>
        <v>0</v>
      </c>
      <c r="F11" s="9" t="s">
        <v>16</v>
      </c>
      <c r="G11" s="3">
        <f>0/1</f>
        <v>0</v>
      </c>
      <c r="H11" s="2" t="s">
        <v>15</v>
      </c>
      <c r="I11" s="3">
        <f>1/1</f>
        <v>1</v>
      </c>
      <c r="J11" s="2" t="s">
        <v>13</v>
      </c>
      <c r="K11" s="2" t="s">
        <v>13</v>
      </c>
      <c r="L11" s="2" t="s">
        <v>13</v>
      </c>
      <c r="M11" s="2" t="s">
        <v>13</v>
      </c>
      <c r="N11" s="2" t="s">
        <v>13</v>
      </c>
      <c r="O11" s="2" t="s">
        <v>13</v>
      </c>
      <c r="P11" s="2" t="s">
        <v>13</v>
      </c>
      <c r="Q11" s="2" t="s">
        <v>13</v>
      </c>
      <c r="R11" s="2" t="s">
        <v>13</v>
      </c>
      <c r="S11" s="2" t="s">
        <v>13</v>
      </c>
      <c r="T11" s="2" t="s">
        <v>13</v>
      </c>
      <c r="U11" s="2" t="s">
        <v>13</v>
      </c>
      <c r="V11" s="2" t="s">
        <v>13</v>
      </c>
      <c r="W11" s="2" t="s">
        <v>13</v>
      </c>
      <c r="X11" s="2" t="s">
        <v>13</v>
      </c>
      <c r="Y11" s="2" t="s">
        <v>13</v>
      </c>
    </row>
    <row r="12" spans="1:25" x14ac:dyDescent="0.25">
      <c r="B12" s="4"/>
      <c r="C12" s="10"/>
      <c r="D12" s="10"/>
      <c r="E12" s="10"/>
      <c r="F12" s="9"/>
      <c r="G12" s="9"/>
      <c r="H12" s="9"/>
      <c r="I12" s="9"/>
      <c r="J12" s="10"/>
      <c r="K12" s="10"/>
      <c r="L12" s="9"/>
      <c r="M12" s="9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4"/>
      <c r="Y12" s="10"/>
    </row>
    <row r="13" spans="1:25" ht="15.75" x14ac:dyDescent="0.25">
      <c r="A13" s="6" t="s">
        <v>30</v>
      </c>
      <c r="B13" s="2" t="s">
        <v>188</v>
      </c>
      <c r="C13" s="3">
        <f>55/59</f>
        <v>0.93220338983050843</v>
      </c>
      <c r="D13" s="2" t="s">
        <v>143</v>
      </c>
      <c r="E13" s="3">
        <v>0.3559322033898305</v>
      </c>
      <c r="F13" s="2" t="s">
        <v>125</v>
      </c>
      <c r="G13" s="3">
        <f>49/57</f>
        <v>0.85964912280701755</v>
      </c>
      <c r="H13" s="2" t="s">
        <v>190</v>
      </c>
      <c r="I13" s="3">
        <f>55/58</f>
        <v>0.94827586206896552</v>
      </c>
      <c r="J13" s="2" t="s">
        <v>60</v>
      </c>
      <c r="K13" s="3">
        <f>21/21</f>
        <v>1</v>
      </c>
      <c r="L13" s="2" t="s">
        <v>208</v>
      </c>
      <c r="M13" s="3">
        <f>49/77</f>
        <v>0.63636363636363635</v>
      </c>
      <c r="N13" s="2" t="s">
        <v>194</v>
      </c>
      <c r="O13" s="3">
        <f>56/63</f>
        <v>0.88888888888888884</v>
      </c>
      <c r="P13" s="2" t="s">
        <v>195</v>
      </c>
      <c r="Q13" s="3">
        <f>22/63</f>
        <v>0.34920634920634919</v>
      </c>
      <c r="R13" s="2" t="s">
        <v>211</v>
      </c>
      <c r="S13" s="3">
        <f>53/63</f>
        <v>0.84126984126984128</v>
      </c>
      <c r="T13" s="2" t="s">
        <v>196</v>
      </c>
      <c r="U13" s="3">
        <f>56/61</f>
        <v>0.91803278688524592</v>
      </c>
      <c r="V13" s="2" t="s">
        <v>55</v>
      </c>
      <c r="W13" s="3">
        <f>22/22</f>
        <v>1</v>
      </c>
      <c r="X13" s="2" t="s">
        <v>214</v>
      </c>
      <c r="Y13" s="3">
        <f>53/88</f>
        <v>0.60227272727272729</v>
      </c>
    </row>
    <row r="14" spans="1:25" x14ac:dyDescent="0.25"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2"/>
      <c r="Y14" s="11"/>
    </row>
    <row r="15" spans="1:25" x14ac:dyDescent="0.25">
      <c r="X15" s="12"/>
      <c r="Y15" s="11"/>
    </row>
    <row r="16" spans="1:25" x14ac:dyDescent="0.25">
      <c r="X16" s="12"/>
      <c r="Y16" s="11"/>
    </row>
    <row r="17" spans="1:25" x14ac:dyDescent="0.25">
      <c r="X17" s="12"/>
      <c r="Y17" s="11"/>
    </row>
    <row r="18" spans="1:25" ht="18.75" x14ac:dyDescent="0.3">
      <c r="A18" s="7" t="s">
        <v>32</v>
      </c>
      <c r="X18" s="12"/>
      <c r="Y18" s="11"/>
    </row>
    <row r="19" spans="1:25" x14ac:dyDescent="0.25">
      <c r="X19" s="13"/>
    </row>
    <row r="20" spans="1:25" ht="15.75" x14ac:dyDescent="0.25">
      <c r="B20" s="15" t="s">
        <v>1</v>
      </c>
      <c r="C20" s="15"/>
      <c r="D20" s="16" t="s">
        <v>41</v>
      </c>
      <c r="E20" s="16"/>
      <c r="F20" s="15" t="s">
        <v>2</v>
      </c>
      <c r="G20" s="15"/>
      <c r="H20" s="15" t="s">
        <v>3</v>
      </c>
      <c r="I20" s="15"/>
      <c r="J20" s="15" t="s">
        <v>42</v>
      </c>
      <c r="K20" s="15"/>
      <c r="L20" s="15" t="s">
        <v>4</v>
      </c>
      <c r="M20" s="15"/>
      <c r="N20" s="15" t="s">
        <v>5</v>
      </c>
      <c r="O20" s="15"/>
      <c r="P20" s="15" t="s">
        <v>43</v>
      </c>
      <c r="Q20" s="15"/>
      <c r="R20" s="15" t="s">
        <v>6</v>
      </c>
      <c r="S20" s="15"/>
      <c r="T20" s="15" t="s">
        <v>7</v>
      </c>
      <c r="U20" s="15"/>
      <c r="V20" s="15" t="s">
        <v>44</v>
      </c>
      <c r="W20" s="15"/>
      <c r="X20" s="15" t="s">
        <v>8</v>
      </c>
      <c r="Y20" s="15"/>
    </row>
    <row r="21" spans="1:25" ht="15.75" x14ac:dyDescent="0.25">
      <c r="A21" s="6" t="s">
        <v>106</v>
      </c>
      <c r="B21" s="2" t="s">
        <v>77</v>
      </c>
      <c r="C21" s="3">
        <f>8/10</f>
        <v>0.8</v>
      </c>
      <c r="D21" s="2" t="s">
        <v>123</v>
      </c>
      <c r="E21" s="3">
        <f>2/10</f>
        <v>0.2</v>
      </c>
      <c r="F21" s="2" t="s">
        <v>109</v>
      </c>
      <c r="G21" s="3">
        <f>7/10</f>
        <v>0.7</v>
      </c>
      <c r="H21" s="2" t="s">
        <v>64</v>
      </c>
      <c r="I21" s="3">
        <f>8/9</f>
        <v>0.88888888888888884</v>
      </c>
      <c r="J21" s="2" t="s">
        <v>52</v>
      </c>
      <c r="K21" s="3">
        <f>2/2</f>
        <v>1</v>
      </c>
      <c r="L21" s="2" t="s">
        <v>25</v>
      </c>
      <c r="M21" s="3">
        <f>7/9</f>
        <v>0.77777777777777779</v>
      </c>
      <c r="N21" s="2" t="s">
        <v>77</v>
      </c>
      <c r="O21" s="3">
        <f>8/10</f>
        <v>0.8</v>
      </c>
      <c r="P21" s="2" t="s">
        <v>123</v>
      </c>
      <c r="Q21" s="3">
        <f>2/10</f>
        <v>0.2</v>
      </c>
      <c r="R21" s="2" t="s">
        <v>109</v>
      </c>
      <c r="S21" s="3">
        <f>7/10</f>
        <v>0.7</v>
      </c>
      <c r="T21" s="2" t="s">
        <v>64</v>
      </c>
      <c r="U21" s="3">
        <f>8/9</f>
        <v>0.88888888888888884</v>
      </c>
      <c r="V21" s="2" t="s">
        <v>52</v>
      </c>
      <c r="W21" s="3">
        <f>2/2</f>
        <v>1</v>
      </c>
      <c r="X21" s="2" t="s">
        <v>109</v>
      </c>
      <c r="Y21" s="3">
        <f>7/10</f>
        <v>0.7</v>
      </c>
    </row>
    <row r="22" spans="1:25" ht="15.75" x14ac:dyDescent="0.25">
      <c r="A22" s="6" t="s">
        <v>10</v>
      </c>
      <c r="B22" s="2" t="s">
        <v>13</v>
      </c>
      <c r="C22" s="2" t="s">
        <v>13</v>
      </c>
      <c r="D22" s="2" t="s">
        <v>13</v>
      </c>
      <c r="E22" s="2" t="s">
        <v>13</v>
      </c>
      <c r="F22" s="2" t="s">
        <v>13</v>
      </c>
      <c r="G22" s="2" t="s">
        <v>13</v>
      </c>
      <c r="H22" s="2" t="s">
        <v>16</v>
      </c>
      <c r="I22" s="3">
        <f>0/1</f>
        <v>0</v>
      </c>
      <c r="J22" s="2" t="s">
        <v>13</v>
      </c>
      <c r="K22" s="2" t="s">
        <v>13</v>
      </c>
      <c r="L22" s="2" t="s">
        <v>13</v>
      </c>
      <c r="M22" s="2" t="s">
        <v>13</v>
      </c>
      <c r="N22" s="2" t="s">
        <v>13</v>
      </c>
      <c r="O22" s="2" t="s">
        <v>13</v>
      </c>
      <c r="P22" s="2" t="s">
        <v>13</v>
      </c>
      <c r="Q22" s="2" t="s">
        <v>13</v>
      </c>
      <c r="R22" s="2" t="s">
        <v>13</v>
      </c>
      <c r="S22" s="2" t="s">
        <v>13</v>
      </c>
      <c r="T22" s="2" t="s">
        <v>16</v>
      </c>
      <c r="U22" s="3">
        <f>0/1</f>
        <v>0</v>
      </c>
      <c r="V22" s="2" t="s">
        <v>13</v>
      </c>
      <c r="W22" s="2" t="s">
        <v>13</v>
      </c>
      <c r="X22" s="2" t="s">
        <v>13</v>
      </c>
      <c r="Y22" s="2" t="s">
        <v>13</v>
      </c>
    </row>
    <row r="23" spans="1:25" ht="15.75" x14ac:dyDescent="0.25">
      <c r="A23" s="6" t="s">
        <v>14</v>
      </c>
      <c r="B23" s="2" t="s">
        <v>52</v>
      </c>
      <c r="C23" s="3">
        <f>2/2</f>
        <v>1</v>
      </c>
      <c r="D23" s="2" t="s">
        <v>140</v>
      </c>
      <c r="E23" s="3">
        <f>0/2</f>
        <v>0</v>
      </c>
      <c r="F23" s="2" t="s">
        <v>140</v>
      </c>
      <c r="G23" s="3">
        <f>0/2</f>
        <v>0</v>
      </c>
      <c r="H23" s="2" t="s">
        <v>52</v>
      </c>
      <c r="I23" s="3">
        <f>2/2</f>
        <v>1</v>
      </c>
      <c r="J23" s="2" t="s">
        <v>13</v>
      </c>
      <c r="K23" s="2" t="s">
        <v>13</v>
      </c>
      <c r="L23" s="2" t="s">
        <v>13</v>
      </c>
      <c r="M23" s="2" t="s">
        <v>13</v>
      </c>
      <c r="N23" s="2" t="s">
        <v>13</v>
      </c>
      <c r="O23" s="2" t="s">
        <v>13</v>
      </c>
      <c r="P23" s="2" t="s">
        <v>13</v>
      </c>
      <c r="Q23" s="2" t="s">
        <v>13</v>
      </c>
      <c r="R23" s="2" t="s">
        <v>13</v>
      </c>
      <c r="S23" s="2" t="s">
        <v>13</v>
      </c>
      <c r="T23" s="2" t="s">
        <v>13</v>
      </c>
      <c r="U23" s="2" t="s">
        <v>13</v>
      </c>
      <c r="V23" s="2" t="s">
        <v>13</v>
      </c>
      <c r="W23" s="2" t="s">
        <v>13</v>
      </c>
      <c r="X23" s="2" t="s">
        <v>13</v>
      </c>
      <c r="Y23" s="2" t="s">
        <v>13</v>
      </c>
    </row>
    <row r="24" spans="1:25" ht="15.75" x14ac:dyDescent="0.25">
      <c r="A24" s="6" t="s">
        <v>17</v>
      </c>
      <c r="B24" s="2" t="s">
        <v>52</v>
      </c>
      <c r="C24" s="3">
        <f>2/2</f>
        <v>1</v>
      </c>
      <c r="D24" s="2" t="s">
        <v>88</v>
      </c>
      <c r="E24" s="3">
        <f>1/2</f>
        <v>0.5</v>
      </c>
      <c r="F24" s="2" t="s">
        <v>52</v>
      </c>
      <c r="G24" s="3">
        <f t="shared" ref="G24" si="4">2/2</f>
        <v>1</v>
      </c>
      <c r="H24" s="2" t="s">
        <v>52</v>
      </c>
      <c r="I24" s="3">
        <f t="shared" ref="I24" si="5">2/2</f>
        <v>1</v>
      </c>
      <c r="J24" s="2" t="s">
        <v>15</v>
      </c>
      <c r="K24" s="3">
        <f>1/1</f>
        <v>1</v>
      </c>
      <c r="L24" s="2" t="s">
        <v>52</v>
      </c>
      <c r="M24" s="3">
        <f t="shared" ref="M24" si="6">2/2</f>
        <v>1</v>
      </c>
      <c r="N24" s="2" t="s">
        <v>88</v>
      </c>
      <c r="O24" s="3">
        <f>1/2</f>
        <v>0.5</v>
      </c>
      <c r="P24" s="2" t="s">
        <v>88</v>
      </c>
      <c r="Q24" s="3">
        <f>1/2</f>
        <v>0.5</v>
      </c>
      <c r="R24" s="2" t="s">
        <v>52</v>
      </c>
      <c r="S24" s="3">
        <f t="shared" ref="S24" si="7">2/2</f>
        <v>1</v>
      </c>
      <c r="T24" s="2" t="s">
        <v>88</v>
      </c>
      <c r="U24" s="3">
        <f>1/2</f>
        <v>0.5</v>
      </c>
      <c r="V24" s="2" t="s">
        <v>15</v>
      </c>
      <c r="W24" s="3">
        <f>1/1</f>
        <v>1</v>
      </c>
      <c r="X24" s="2" t="s">
        <v>52</v>
      </c>
      <c r="Y24" s="3">
        <f>2/2</f>
        <v>1</v>
      </c>
    </row>
    <row r="25" spans="1:25" ht="15.75" x14ac:dyDescent="0.25">
      <c r="A25" s="6" t="s">
        <v>18</v>
      </c>
      <c r="B25" s="2" t="s">
        <v>200</v>
      </c>
      <c r="C25" s="3">
        <f>14/15</f>
        <v>0.93333333333333335</v>
      </c>
      <c r="D25" s="2" t="s">
        <v>201</v>
      </c>
      <c r="E25" s="3">
        <f>11/15</f>
        <v>0.73333333333333328</v>
      </c>
      <c r="F25" s="2" t="s">
        <v>47</v>
      </c>
      <c r="G25" s="3">
        <f>15/15</f>
        <v>1</v>
      </c>
      <c r="H25" s="2" t="s">
        <v>200</v>
      </c>
      <c r="I25" s="3">
        <f>14/15</f>
        <v>0.93333333333333335</v>
      </c>
      <c r="J25" s="2" t="s">
        <v>198</v>
      </c>
      <c r="K25" s="3">
        <f>11/11</f>
        <v>1</v>
      </c>
      <c r="L25" s="2" t="s">
        <v>217</v>
      </c>
      <c r="M25" s="3">
        <f>15/21</f>
        <v>0.7142857142857143</v>
      </c>
      <c r="N25" s="2" t="s">
        <v>197</v>
      </c>
      <c r="O25" s="3">
        <f>17/19</f>
        <v>0.89473684210526316</v>
      </c>
      <c r="P25" s="2" t="s">
        <v>174</v>
      </c>
      <c r="Q25" s="3">
        <f>11/19</f>
        <v>0.57894736842105265</v>
      </c>
      <c r="R25" s="2" t="s">
        <v>40</v>
      </c>
      <c r="S25" s="3">
        <f>18/19</f>
        <v>0.94736842105263153</v>
      </c>
      <c r="T25" s="2" t="s">
        <v>197</v>
      </c>
      <c r="U25" s="3">
        <f>17/19</f>
        <v>0.89473684210526316</v>
      </c>
      <c r="V25" s="2" t="s">
        <v>198</v>
      </c>
      <c r="W25" s="3">
        <f>11/11</f>
        <v>1</v>
      </c>
      <c r="X25" s="2" t="s">
        <v>99</v>
      </c>
      <c r="Y25" s="3">
        <f>18/30</f>
        <v>0.6</v>
      </c>
    </row>
    <row r="26" spans="1:25" ht="15.75" x14ac:dyDescent="0.25">
      <c r="A26" s="6" t="s">
        <v>22</v>
      </c>
      <c r="B26" s="2" t="s">
        <v>57</v>
      </c>
      <c r="C26" s="3">
        <f>16/16</f>
        <v>1</v>
      </c>
      <c r="D26" s="2" t="s">
        <v>187</v>
      </c>
      <c r="E26" s="3">
        <f>4/16</f>
        <v>0.25</v>
      </c>
      <c r="F26" s="2" t="s">
        <v>205</v>
      </c>
      <c r="G26" s="3">
        <f>12/16</f>
        <v>0.75</v>
      </c>
      <c r="H26" s="2" t="s">
        <v>57</v>
      </c>
      <c r="I26" s="3">
        <f>16/16</f>
        <v>1</v>
      </c>
      <c r="J26" s="2" t="s">
        <v>49</v>
      </c>
      <c r="K26" s="3">
        <f>4/4</f>
        <v>1</v>
      </c>
      <c r="L26" s="2" t="s">
        <v>207</v>
      </c>
      <c r="M26" s="3">
        <f>12/19</f>
        <v>0.63157894736842102</v>
      </c>
      <c r="N26" s="2" t="s">
        <v>66</v>
      </c>
      <c r="O26" s="3">
        <f>17/18</f>
        <v>0.94444444444444442</v>
      </c>
      <c r="P26" s="2" t="s">
        <v>193</v>
      </c>
      <c r="Q26" s="3">
        <f>5/18</f>
        <v>0.27777777777777779</v>
      </c>
      <c r="R26" s="2" t="s">
        <v>210</v>
      </c>
      <c r="S26" s="3">
        <f>13/18</f>
        <v>0.72222222222222221</v>
      </c>
      <c r="T26" s="2" t="s">
        <v>67</v>
      </c>
      <c r="U26" s="3">
        <f>17/17</f>
        <v>1</v>
      </c>
      <c r="V26" s="2" t="s">
        <v>12</v>
      </c>
      <c r="W26" s="3">
        <f>5/5</f>
        <v>1</v>
      </c>
      <c r="X26" s="2" t="s">
        <v>53</v>
      </c>
      <c r="Y26" s="3">
        <f>13/20</f>
        <v>0.65</v>
      </c>
    </row>
    <row r="27" spans="1:25" ht="15.75" x14ac:dyDescent="0.25">
      <c r="A27" s="6" t="s">
        <v>107</v>
      </c>
      <c r="B27" s="2" t="s">
        <v>52</v>
      </c>
      <c r="C27" s="3">
        <f>2/2</f>
        <v>1</v>
      </c>
      <c r="D27" s="2" t="s">
        <v>140</v>
      </c>
      <c r="E27" s="3">
        <f>0/2</f>
        <v>0</v>
      </c>
      <c r="F27" s="2" t="s">
        <v>52</v>
      </c>
      <c r="G27" s="3">
        <f>2/2</f>
        <v>1</v>
      </c>
      <c r="H27" s="2" t="s">
        <v>52</v>
      </c>
      <c r="I27" s="3">
        <f>2/2</f>
        <v>1</v>
      </c>
      <c r="J27" s="2" t="s">
        <v>13</v>
      </c>
      <c r="K27" s="2" t="s">
        <v>13</v>
      </c>
      <c r="L27" s="2" t="s">
        <v>123</v>
      </c>
      <c r="M27" s="3">
        <f>2/10</f>
        <v>0.2</v>
      </c>
      <c r="N27" s="2" t="s">
        <v>52</v>
      </c>
      <c r="O27" s="3">
        <f>2/2</f>
        <v>1</v>
      </c>
      <c r="P27" s="2" t="s">
        <v>140</v>
      </c>
      <c r="Q27" s="3">
        <f>0/2</f>
        <v>0</v>
      </c>
      <c r="R27" s="2" t="s">
        <v>52</v>
      </c>
      <c r="S27" s="3">
        <f>2/2</f>
        <v>1</v>
      </c>
      <c r="T27" s="2" t="s">
        <v>52</v>
      </c>
      <c r="U27" s="3">
        <f>2/2</f>
        <v>1</v>
      </c>
      <c r="V27" s="2" t="s">
        <v>13</v>
      </c>
      <c r="W27" s="2" t="s">
        <v>13</v>
      </c>
      <c r="X27" s="2" t="s">
        <v>213</v>
      </c>
      <c r="Y27" s="3">
        <f>2/11</f>
        <v>0.18181818181818182</v>
      </c>
    </row>
    <row r="28" spans="1:25" ht="15.75" x14ac:dyDescent="0.25">
      <c r="A28" s="6" t="s">
        <v>108</v>
      </c>
      <c r="B28" s="2" t="s">
        <v>15</v>
      </c>
      <c r="C28" s="3">
        <f>1/1</f>
        <v>1</v>
      </c>
      <c r="D28" s="9" t="s">
        <v>16</v>
      </c>
      <c r="E28" s="3">
        <f>0/1</f>
        <v>0</v>
      </c>
      <c r="F28" s="9" t="s">
        <v>16</v>
      </c>
      <c r="G28" s="3">
        <f>0/1</f>
        <v>0</v>
      </c>
      <c r="H28" s="2" t="s">
        <v>15</v>
      </c>
      <c r="I28" s="3">
        <f>1/1</f>
        <v>1</v>
      </c>
      <c r="J28" s="2" t="s">
        <v>13</v>
      </c>
      <c r="K28" s="2" t="s">
        <v>13</v>
      </c>
      <c r="L28" s="2" t="s">
        <v>13</v>
      </c>
      <c r="M28" s="2" t="s">
        <v>13</v>
      </c>
      <c r="N28" s="2" t="s">
        <v>13</v>
      </c>
      <c r="O28" s="2" t="s">
        <v>13</v>
      </c>
      <c r="P28" s="2" t="s">
        <v>13</v>
      </c>
      <c r="Q28" s="2" t="s">
        <v>13</v>
      </c>
      <c r="R28" s="2" t="s">
        <v>13</v>
      </c>
      <c r="S28" s="2" t="s">
        <v>13</v>
      </c>
      <c r="T28" s="2" t="s">
        <v>13</v>
      </c>
      <c r="U28" s="2" t="s">
        <v>13</v>
      </c>
      <c r="V28" s="2" t="s">
        <v>13</v>
      </c>
      <c r="W28" s="2" t="s">
        <v>13</v>
      </c>
      <c r="X28" s="2" t="s">
        <v>13</v>
      </c>
      <c r="Y28" s="2" t="s">
        <v>13</v>
      </c>
    </row>
    <row r="29" spans="1:25" x14ac:dyDescent="0.25"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4"/>
      <c r="Y29" s="10"/>
    </row>
    <row r="30" spans="1:25" ht="15.75" x14ac:dyDescent="0.25">
      <c r="A30" s="6" t="s">
        <v>30</v>
      </c>
      <c r="B30" s="2" t="s">
        <v>79</v>
      </c>
      <c r="C30" s="3">
        <f>45/48</f>
        <v>0.9375</v>
      </c>
      <c r="D30" s="2" t="s">
        <v>202</v>
      </c>
      <c r="E30" s="3">
        <f>18/48</f>
        <v>0.375</v>
      </c>
      <c r="F30" s="2" t="s">
        <v>331</v>
      </c>
      <c r="G30" s="3">
        <f>38/46</f>
        <v>0.82608695652173914</v>
      </c>
      <c r="H30" s="2" t="s">
        <v>79</v>
      </c>
      <c r="I30" s="3">
        <f>45/48</f>
        <v>0.9375</v>
      </c>
      <c r="J30" s="2" t="s">
        <v>48</v>
      </c>
      <c r="K30" s="3">
        <f>18/18</f>
        <v>1</v>
      </c>
      <c r="L30" s="2" t="s">
        <v>218</v>
      </c>
      <c r="M30" s="3">
        <f>38/61</f>
        <v>0.62295081967213117</v>
      </c>
      <c r="N30" s="2" t="s">
        <v>203</v>
      </c>
      <c r="O30" s="3">
        <f>45/51</f>
        <v>0.88235294117647056</v>
      </c>
      <c r="P30" s="2" t="s">
        <v>92</v>
      </c>
      <c r="Q30" s="3">
        <f>19/51</f>
        <v>0.37254901960784315</v>
      </c>
      <c r="R30" s="2" t="s">
        <v>216</v>
      </c>
      <c r="S30" s="3">
        <f>42/51</f>
        <v>0.82352941176470584</v>
      </c>
      <c r="T30" s="2" t="s">
        <v>199</v>
      </c>
      <c r="U30" s="3">
        <f>45/50</f>
        <v>0.9</v>
      </c>
      <c r="V30" s="2" t="s">
        <v>73</v>
      </c>
      <c r="W30" s="3">
        <f>19/19</f>
        <v>1</v>
      </c>
      <c r="X30" s="2" t="s">
        <v>215</v>
      </c>
      <c r="Y30" s="3">
        <f>42/73</f>
        <v>0.57534246575342463</v>
      </c>
    </row>
  </sheetData>
  <mergeCells count="24">
    <mergeCell ref="X20:Y20"/>
    <mergeCell ref="B20:C20"/>
    <mergeCell ref="D20:E20"/>
    <mergeCell ref="F20:G20"/>
    <mergeCell ref="H20:I20"/>
    <mergeCell ref="J20:K20"/>
    <mergeCell ref="L20:M20"/>
    <mergeCell ref="N20:O20"/>
    <mergeCell ref="P20:Q20"/>
    <mergeCell ref="R20:S20"/>
    <mergeCell ref="T20:U20"/>
    <mergeCell ref="V20:W20"/>
    <mergeCell ref="X3:Y3"/>
    <mergeCell ref="B3:C3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V3:W3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0"/>
  <sheetViews>
    <sheetView topLeftCell="H1" workbookViewId="0">
      <selection activeCell="N1" sqref="N1:N1048576"/>
    </sheetView>
  </sheetViews>
  <sheetFormatPr baseColWidth="10" defaultRowHeight="15" x14ac:dyDescent="0.25"/>
  <cols>
    <col min="2" max="25" width="12.7109375" customWidth="1"/>
  </cols>
  <sheetData>
    <row r="1" spans="1:25" ht="18.75" x14ac:dyDescent="0.3">
      <c r="A1" s="7" t="s">
        <v>0</v>
      </c>
    </row>
    <row r="2" spans="1:25" ht="15.75" x14ac:dyDescent="0.25">
      <c r="A2" s="6"/>
    </row>
    <row r="3" spans="1:25" ht="15.75" x14ac:dyDescent="0.25">
      <c r="B3" s="15" t="s">
        <v>1</v>
      </c>
      <c r="C3" s="15"/>
      <c r="D3" s="16" t="s">
        <v>41</v>
      </c>
      <c r="E3" s="16"/>
      <c r="F3" s="15" t="s">
        <v>2</v>
      </c>
      <c r="G3" s="15"/>
      <c r="H3" s="15" t="s">
        <v>3</v>
      </c>
      <c r="I3" s="15"/>
      <c r="J3" s="15" t="s">
        <v>42</v>
      </c>
      <c r="K3" s="15"/>
      <c r="L3" s="15" t="s">
        <v>4</v>
      </c>
      <c r="M3" s="15"/>
      <c r="N3" s="15" t="s">
        <v>5</v>
      </c>
      <c r="O3" s="15"/>
      <c r="P3" s="15" t="s">
        <v>43</v>
      </c>
      <c r="Q3" s="15"/>
      <c r="R3" s="15" t="s">
        <v>6</v>
      </c>
      <c r="S3" s="15"/>
      <c r="T3" s="15" t="s">
        <v>7</v>
      </c>
      <c r="U3" s="15"/>
      <c r="V3" s="15" t="s">
        <v>44</v>
      </c>
      <c r="W3" s="15"/>
      <c r="X3" s="15" t="s">
        <v>8</v>
      </c>
      <c r="Y3" s="15"/>
    </row>
    <row r="4" spans="1:25" ht="15.75" x14ac:dyDescent="0.25">
      <c r="A4" s="6" t="s">
        <v>106</v>
      </c>
      <c r="B4" s="2" t="s">
        <v>11</v>
      </c>
      <c r="C4" s="3">
        <f>5/6</f>
        <v>0.83333333333333337</v>
      </c>
      <c r="D4" s="2" t="s">
        <v>59</v>
      </c>
      <c r="E4" s="3">
        <f>2/6</f>
        <v>0.33333333333333331</v>
      </c>
      <c r="F4" s="2" t="s">
        <v>27</v>
      </c>
      <c r="G4" s="3">
        <f>6/6</f>
        <v>1</v>
      </c>
      <c r="H4" s="2" t="s">
        <v>61</v>
      </c>
      <c r="I4" s="3">
        <f>5/7</f>
        <v>0.7142857142857143</v>
      </c>
      <c r="J4" s="2" t="s">
        <v>52</v>
      </c>
      <c r="K4" s="3">
        <f>2/2</f>
        <v>1</v>
      </c>
      <c r="L4" s="2" t="s">
        <v>62</v>
      </c>
      <c r="M4" s="3">
        <f>6/9</f>
        <v>0.66666666666666663</v>
      </c>
      <c r="N4" s="2" t="s">
        <v>68</v>
      </c>
      <c r="O4" s="3">
        <f>4/5</f>
        <v>0.8</v>
      </c>
      <c r="P4" s="2" t="s">
        <v>221</v>
      </c>
      <c r="Q4" s="3">
        <f>2/5</f>
        <v>0.4</v>
      </c>
      <c r="R4" s="2" t="s">
        <v>12</v>
      </c>
      <c r="S4" s="3">
        <f>5/5</f>
        <v>1</v>
      </c>
      <c r="T4" s="2" t="s">
        <v>49</v>
      </c>
      <c r="U4" s="3">
        <f>4/4</f>
        <v>1</v>
      </c>
      <c r="V4" s="2" t="s">
        <v>52</v>
      </c>
      <c r="W4" s="3">
        <f>2/2</f>
        <v>1</v>
      </c>
      <c r="X4" s="2" t="s">
        <v>234</v>
      </c>
      <c r="Y4" s="3">
        <f>5/9</f>
        <v>0.55555555555555558</v>
      </c>
    </row>
    <row r="5" spans="1:25" ht="15.75" x14ac:dyDescent="0.25">
      <c r="A5" s="6" t="s">
        <v>10</v>
      </c>
      <c r="B5" s="2" t="s">
        <v>88</v>
      </c>
      <c r="C5" s="3">
        <f>1/2</f>
        <v>0.5</v>
      </c>
      <c r="D5" s="2" t="s">
        <v>140</v>
      </c>
      <c r="E5" s="3">
        <f>0/2</f>
        <v>0</v>
      </c>
      <c r="F5" s="2" t="s">
        <v>52</v>
      </c>
      <c r="G5" s="3">
        <f>2/2</f>
        <v>1</v>
      </c>
      <c r="H5" s="2" t="s">
        <v>15</v>
      </c>
      <c r="I5" s="3">
        <f>1/1</f>
        <v>1</v>
      </c>
      <c r="J5" s="2" t="s">
        <v>13</v>
      </c>
      <c r="K5" s="3" t="s">
        <v>13</v>
      </c>
      <c r="L5" s="2" t="s">
        <v>52</v>
      </c>
      <c r="M5" s="3">
        <f>2/2</f>
        <v>1</v>
      </c>
      <c r="N5" s="2" t="s">
        <v>88</v>
      </c>
      <c r="O5" s="3">
        <f>1/2</f>
        <v>0.5</v>
      </c>
      <c r="P5" s="2" t="s">
        <v>140</v>
      </c>
      <c r="Q5" s="3">
        <f>0/2</f>
        <v>0</v>
      </c>
      <c r="R5" s="2" t="s">
        <v>52</v>
      </c>
      <c r="S5" s="3">
        <f>2/2</f>
        <v>1</v>
      </c>
      <c r="T5" s="2" t="s">
        <v>15</v>
      </c>
      <c r="U5" s="3">
        <f>1/1</f>
        <v>1</v>
      </c>
      <c r="V5" s="2" t="s">
        <v>13</v>
      </c>
      <c r="W5" s="3" t="s">
        <v>13</v>
      </c>
      <c r="X5" s="2" t="s">
        <v>52</v>
      </c>
      <c r="Y5" s="3">
        <f>2/2</f>
        <v>1</v>
      </c>
    </row>
    <row r="6" spans="1:25" ht="15.75" x14ac:dyDescent="0.25">
      <c r="A6" s="6" t="s">
        <v>14</v>
      </c>
      <c r="B6" s="2" t="s">
        <v>15</v>
      </c>
      <c r="C6" s="3">
        <f>1/1</f>
        <v>1</v>
      </c>
      <c r="D6" s="2" t="s">
        <v>16</v>
      </c>
      <c r="E6" s="3">
        <f>0/1</f>
        <v>0</v>
      </c>
      <c r="F6" s="2" t="s">
        <v>15</v>
      </c>
      <c r="G6" s="3">
        <f>1/1</f>
        <v>1</v>
      </c>
      <c r="H6" s="2" t="s">
        <v>15</v>
      </c>
      <c r="I6" s="3">
        <f>1/1</f>
        <v>1</v>
      </c>
      <c r="J6" s="2" t="s">
        <v>13</v>
      </c>
      <c r="K6" s="3" t="s">
        <v>13</v>
      </c>
      <c r="L6" s="2" t="s">
        <v>15</v>
      </c>
      <c r="M6" s="3">
        <f>1/1</f>
        <v>1</v>
      </c>
      <c r="N6" s="2" t="s">
        <v>13</v>
      </c>
      <c r="O6" s="2" t="s">
        <v>13</v>
      </c>
      <c r="P6" s="2" t="s">
        <v>13</v>
      </c>
      <c r="Q6" s="3" t="s">
        <v>13</v>
      </c>
      <c r="R6" s="2" t="s">
        <v>13</v>
      </c>
      <c r="S6" s="2" t="s">
        <v>13</v>
      </c>
      <c r="T6" s="2" t="s">
        <v>13</v>
      </c>
      <c r="U6" s="2" t="s">
        <v>13</v>
      </c>
      <c r="V6" s="2" t="s">
        <v>13</v>
      </c>
      <c r="W6" s="3" t="s">
        <v>13</v>
      </c>
      <c r="X6" s="2" t="s">
        <v>13</v>
      </c>
      <c r="Y6" s="2" t="s">
        <v>13</v>
      </c>
    </row>
    <row r="7" spans="1:25" ht="15.75" x14ac:dyDescent="0.25">
      <c r="A7" s="6" t="s">
        <v>17</v>
      </c>
      <c r="B7" s="2" t="s">
        <v>110</v>
      </c>
      <c r="C7" s="3">
        <f>2/3</f>
        <v>0.66666666666666663</v>
      </c>
      <c r="D7" s="2" t="s">
        <v>110</v>
      </c>
      <c r="E7" s="3">
        <f>2/3</f>
        <v>0.66666666666666663</v>
      </c>
      <c r="F7" s="2" t="s">
        <v>46</v>
      </c>
      <c r="G7" s="3">
        <f>3/3</f>
        <v>1</v>
      </c>
      <c r="H7" s="2" t="s">
        <v>52</v>
      </c>
      <c r="I7" s="3">
        <f>2/2</f>
        <v>1</v>
      </c>
      <c r="J7" s="2" t="s">
        <v>52</v>
      </c>
      <c r="K7" s="3">
        <f>2/2</f>
        <v>1</v>
      </c>
      <c r="L7" s="2" t="s">
        <v>46</v>
      </c>
      <c r="M7" s="3">
        <f>3/3</f>
        <v>1</v>
      </c>
      <c r="N7" s="2" t="s">
        <v>110</v>
      </c>
      <c r="O7" s="3">
        <f>2/3</f>
        <v>0.66666666666666663</v>
      </c>
      <c r="P7" s="2" t="s">
        <v>110</v>
      </c>
      <c r="Q7" s="3">
        <f>2/3</f>
        <v>0.66666666666666663</v>
      </c>
      <c r="R7" s="2" t="s">
        <v>46</v>
      </c>
      <c r="S7" s="3">
        <f>3/3</f>
        <v>1</v>
      </c>
      <c r="T7" s="2" t="s">
        <v>52</v>
      </c>
      <c r="U7" s="3">
        <f>2/2</f>
        <v>1</v>
      </c>
      <c r="V7" s="2" t="s">
        <v>52</v>
      </c>
      <c r="W7" s="3">
        <f>2/2</f>
        <v>1</v>
      </c>
      <c r="X7" s="2" t="s">
        <v>46</v>
      </c>
      <c r="Y7" s="3">
        <f>3/3</f>
        <v>1</v>
      </c>
    </row>
    <row r="8" spans="1:25" ht="15.75" x14ac:dyDescent="0.25">
      <c r="A8" s="6" t="s">
        <v>18</v>
      </c>
      <c r="B8" s="2" t="s">
        <v>219</v>
      </c>
      <c r="C8" s="3">
        <f>20/22</f>
        <v>0.90909090909090906</v>
      </c>
      <c r="D8" s="2" t="s">
        <v>220</v>
      </c>
      <c r="E8" s="3">
        <f>12/22</f>
        <v>0.54545454545454541</v>
      </c>
      <c r="F8" s="2" t="s">
        <v>55</v>
      </c>
      <c r="G8" s="3">
        <f>22/22</f>
        <v>1</v>
      </c>
      <c r="H8" s="2" t="s">
        <v>33</v>
      </c>
      <c r="I8" s="3">
        <f>20/20</f>
        <v>1</v>
      </c>
      <c r="J8" s="2" t="s">
        <v>157</v>
      </c>
      <c r="K8" s="3">
        <f>12/12</f>
        <v>1</v>
      </c>
      <c r="L8" s="2" t="s">
        <v>231</v>
      </c>
      <c r="M8" s="3">
        <f>22/35</f>
        <v>0.62857142857142856</v>
      </c>
      <c r="N8" s="2" t="s">
        <v>111</v>
      </c>
      <c r="O8" s="3">
        <f>23/27</f>
        <v>0.85185185185185186</v>
      </c>
      <c r="P8" s="2" t="s">
        <v>76</v>
      </c>
      <c r="Q8" s="3">
        <f>14/27</f>
        <v>0.51851851851851849</v>
      </c>
      <c r="R8" s="2" t="s">
        <v>72</v>
      </c>
      <c r="S8" s="3">
        <f>26/27</f>
        <v>0.96296296296296291</v>
      </c>
      <c r="T8" s="2" t="s">
        <v>83</v>
      </c>
      <c r="U8" s="3">
        <f>23/23</f>
        <v>1</v>
      </c>
      <c r="V8" s="2" t="s">
        <v>95</v>
      </c>
      <c r="W8" s="3">
        <f>14/14</f>
        <v>1</v>
      </c>
      <c r="X8" s="2" t="s">
        <v>235</v>
      </c>
      <c r="Y8" s="3">
        <f>26/46</f>
        <v>0.56521739130434778</v>
      </c>
    </row>
    <row r="9" spans="1:25" ht="15.75" x14ac:dyDescent="0.25">
      <c r="A9" s="6" t="s">
        <v>22</v>
      </c>
      <c r="B9" s="2" t="s">
        <v>131</v>
      </c>
      <c r="C9" s="3">
        <f>14/16</f>
        <v>0.875</v>
      </c>
      <c r="D9" s="2" t="s">
        <v>187</v>
      </c>
      <c r="E9" s="3">
        <f>4/16</f>
        <v>0.25</v>
      </c>
      <c r="F9" s="2" t="s">
        <v>21</v>
      </c>
      <c r="G9" s="3">
        <f>15/16</f>
        <v>0.9375</v>
      </c>
      <c r="H9" s="2" t="s">
        <v>131</v>
      </c>
      <c r="I9" s="3">
        <f>14/16</f>
        <v>0.875</v>
      </c>
      <c r="J9" s="2" t="s">
        <v>49</v>
      </c>
      <c r="K9" s="3">
        <f>4/4</f>
        <v>1</v>
      </c>
      <c r="L9" s="2" t="s">
        <v>217</v>
      </c>
      <c r="M9" s="3">
        <f>15/21</f>
        <v>0.7142857142857143</v>
      </c>
      <c r="N9" s="2" t="s">
        <v>87</v>
      </c>
      <c r="O9" s="3">
        <f>17/20</f>
        <v>0.85</v>
      </c>
      <c r="P9" s="2" t="s">
        <v>58</v>
      </c>
      <c r="Q9" s="3">
        <f>4/20</f>
        <v>0.2</v>
      </c>
      <c r="R9" s="2" t="s">
        <v>39</v>
      </c>
      <c r="S9" s="3">
        <f>18/20</f>
        <v>0.9</v>
      </c>
      <c r="T9" s="2" t="s">
        <v>87</v>
      </c>
      <c r="U9" s="3">
        <f>17/20</f>
        <v>0.85</v>
      </c>
      <c r="V9" s="2" t="s">
        <v>49</v>
      </c>
      <c r="W9" s="3">
        <f>4/4</f>
        <v>1</v>
      </c>
      <c r="X9" s="2" t="s">
        <v>236</v>
      </c>
      <c r="Y9" s="3">
        <f>18/24</f>
        <v>0.75</v>
      </c>
    </row>
    <row r="10" spans="1:25" ht="15.75" x14ac:dyDescent="0.25">
      <c r="A10" s="6" t="s">
        <v>107</v>
      </c>
      <c r="B10" s="2" t="s">
        <v>16</v>
      </c>
      <c r="C10" s="3">
        <f>0/1</f>
        <v>0</v>
      </c>
      <c r="D10" s="2" t="s">
        <v>16</v>
      </c>
      <c r="E10" s="3">
        <f>0/1</f>
        <v>0</v>
      </c>
      <c r="F10" s="2" t="s">
        <v>15</v>
      </c>
      <c r="G10" s="3">
        <f>1/1</f>
        <v>1</v>
      </c>
      <c r="H10" s="2" t="s">
        <v>13</v>
      </c>
      <c r="I10" s="2" t="s">
        <v>13</v>
      </c>
      <c r="J10" s="2" t="s">
        <v>13</v>
      </c>
      <c r="K10" s="2" t="s">
        <v>13</v>
      </c>
      <c r="L10" s="2" t="s">
        <v>232</v>
      </c>
      <c r="M10" s="3">
        <f>1/9</f>
        <v>0.1111111111111111</v>
      </c>
      <c r="N10" s="2" t="s">
        <v>16</v>
      </c>
      <c r="O10" s="3">
        <f>0/1</f>
        <v>0</v>
      </c>
      <c r="P10" s="2" t="s">
        <v>16</v>
      </c>
      <c r="Q10" s="3">
        <f>0/1</f>
        <v>0</v>
      </c>
      <c r="R10" s="2" t="s">
        <v>15</v>
      </c>
      <c r="S10" s="3">
        <f>1/1</f>
        <v>1</v>
      </c>
      <c r="T10" s="2" t="s">
        <v>13</v>
      </c>
      <c r="U10" s="2" t="s">
        <v>13</v>
      </c>
      <c r="V10" s="2" t="s">
        <v>13</v>
      </c>
      <c r="W10" s="2" t="s">
        <v>13</v>
      </c>
      <c r="X10" s="2" t="s">
        <v>232</v>
      </c>
      <c r="Y10" s="3">
        <f>1/9</f>
        <v>0.1111111111111111</v>
      </c>
    </row>
    <row r="11" spans="1:25" ht="15.75" x14ac:dyDescent="0.25">
      <c r="A11" s="6" t="s">
        <v>108</v>
      </c>
      <c r="B11" s="2" t="s">
        <v>15</v>
      </c>
      <c r="C11" s="3">
        <f>1/1</f>
        <v>1</v>
      </c>
      <c r="D11" s="2" t="s">
        <v>16</v>
      </c>
      <c r="E11" s="3">
        <f>0/1</f>
        <v>0</v>
      </c>
      <c r="F11" s="2" t="s">
        <v>15</v>
      </c>
      <c r="G11" s="3">
        <f>1/1</f>
        <v>1</v>
      </c>
      <c r="H11" s="2" t="s">
        <v>15</v>
      </c>
      <c r="I11" s="3">
        <f>1/1</f>
        <v>1</v>
      </c>
      <c r="J11" s="2" t="s">
        <v>13</v>
      </c>
      <c r="K11" s="2" t="s">
        <v>13</v>
      </c>
      <c r="L11" s="2" t="s">
        <v>15</v>
      </c>
      <c r="M11" s="3">
        <f>1/1</f>
        <v>1</v>
      </c>
      <c r="N11" s="2" t="s">
        <v>13</v>
      </c>
      <c r="O11" s="2" t="s">
        <v>13</v>
      </c>
      <c r="P11" s="2" t="s">
        <v>13</v>
      </c>
      <c r="Q11" s="3" t="s">
        <v>13</v>
      </c>
      <c r="R11" s="2" t="s">
        <v>13</v>
      </c>
      <c r="S11" s="2" t="s">
        <v>13</v>
      </c>
      <c r="T11" s="2" t="s">
        <v>13</v>
      </c>
      <c r="U11" s="2" t="s">
        <v>13</v>
      </c>
      <c r="V11" s="2" t="s">
        <v>13</v>
      </c>
      <c r="W11" s="3" t="s">
        <v>13</v>
      </c>
      <c r="X11" s="2" t="s">
        <v>13</v>
      </c>
      <c r="Y11" s="2" t="s">
        <v>13</v>
      </c>
    </row>
    <row r="12" spans="1:25" x14ac:dyDescent="0.25">
      <c r="B12" s="4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4"/>
      <c r="Y12" s="10"/>
    </row>
    <row r="13" spans="1:25" ht="15.75" x14ac:dyDescent="0.25">
      <c r="A13" s="6" t="s">
        <v>30</v>
      </c>
      <c r="B13" s="2" t="s">
        <v>138</v>
      </c>
      <c r="C13" s="3">
        <f>44/52</f>
        <v>0.84615384615384615</v>
      </c>
      <c r="D13" s="2" t="s">
        <v>65</v>
      </c>
      <c r="E13" s="3">
        <f>20/52</f>
        <v>0.38461538461538464</v>
      </c>
      <c r="F13" s="2" t="s">
        <v>86</v>
      </c>
      <c r="G13" s="3">
        <f>41/42</f>
        <v>0.97619047619047616</v>
      </c>
      <c r="H13" s="2" t="s">
        <v>164</v>
      </c>
      <c r="I13" s="3">
        <f>44/48</f>
        <v>0.91666666666666663</v>
      </c>
      <c r="J13" s="2" t="s">
        <v>33</v>
      </c>
      <c r="K13" s="3">
        <f>20/20</f>
        <v>1</v>
      </c>
      <c r="L13" s="2" t="s">
        <v>233</v>
      </c>
      <c r="M13" s="3">
        <f>51/81</f>
        <v>0.62962962962962965</v>
      </c>
      <c r="N13" s="2" t="s">
        <v>222</v>
      </c>
      <c r="O13" s="3">
        <f>47/58</f>
        <v>0.81034482758620685</v>
      </c>
      <c r="P13" s="2" t="s">
        <v>223</v>
      </c>
      <c r="Q13" s="3">
        <f>22/58</f>
        <v>0.37931034482758619</v>
      </c>
      <c r="R13" s="2" t="s">
        <v>190</v>
      </c>
      <c r="S13" s="3">
        <f>55/58</f>
        <v>0.94827586206896552</v>
      </c>
      <c r="T13" s="2" t="s">
        <v>224</v>
      </c>
      <c r="U13" s="3">
        <f>45/50</f>
        <v>0.9</v>
      </c>
      <c r="V13" s="2" t="s">
        <v>55</v>
      </c>
      <c r="W13" s="3">
        <f>22/22</f>
        <v>1</v>
      </c>
      <c r="X13" s="2" t="s">
        <v>237</v>
      </c>
      <c r="Y13" s="3">
        <f>55/93</f>
        <v>0.59139784946236562</v>
      </c>
    </row>
    <row r="14" spans="1:25" x14ac:dyDescent="0.25"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2"/>
      <c r="Y14" s="11"/>
    </row>
    <row r="15" spans="1:25" x14ac:dyDescent="0.25">
      <c r="X15" s="12"/>
      <c r="Y15" s="11"/>
    </row>
    <row r="16" spans="1:25" x14ac:dyDescent="0.25">
      <c r="X16" s="12"/>
      <c r="Y16" s="11"/>
    </row>
    <row r="17" spans="1:25" x14ac:dyDescent="0.25">
      <c r="X17" s="12"/>
      <c r="Y17" s="11"/>
    </row>
    <row r="18" spans="1:25" ht="18.75" x14ac:dyDescent="0.3">
      <c r="A18" s="7" t="s">
        <v>32</v>
      </c>
      <c r="X18" s="12"/>
      <c r="Y18" s="11"/>
    </row>
    <row r="19" spans="1:25" x14ac:dyDescent="0.25">
      <c r="X19" s="13"/>
    </row>
    <row r="20" spans="1:25" ht="15.75" x14ac:dyDescent="0.25">
      <c r="B20" s="15" t="s">
        <v>1</v>
      </c>
      <c r="C20" s="15"/>
      <c r="D20" s="16" t="s">
        <v>41</v>
      </c>
      <c r="E20" s="16"/>
      <c r="F20" s="15" t="s">
        <v>2</v>
      </c>
      <c r="G20" s="15"/>
      <c r="H20" s="15" t="s">
        <v>3</v>
      </c>
      <c r="I20" s="15"/>
      <c r="J20" s="15" t="s">
        <v>42</v>
      </c>
      <c r="K20" s="15"/>
      <c r="L20" s="15" t="s">
        <v>4</v>
      </c>
      <c r="M20" s="15"/>
      <c r="N20" s="15" t="s">
        <v>5</v>
      </c>
      <c r="O20" s="15"/>
      <c r="P20" s="15" t="s">
        <v>43</v>
      </c>
      <c r="Q20" s="15"/>
      <c r="R20" s="15" t="s">
        <v>6</v>
      </c>
      <c r="S20" s="15"/>
      <c r="T20" s="15" t="s">
        <v>7</v>
      </c>
      <c r="U20" s="15"/>
      <c r="V20" s="15" t="s">
        <v>44</v>
      </c>
      <c r="W20" s="15"/>
      <c r="X20" s="15" t="s">
        <v>8</v>
      </c>
      <c r="Y20" s="15"/>
    </row>
    <row r="21" spans="1:25" ht="15.75" x14ac:dyDescent="0.25">
      <c r="A21" s="6" t="s">
        <v>106</v>
      </c>
      <c r="B21" s="2" t="s">
        <v>11</v>
      </c>
      <c r="C21" s="3">
        <f>5/6</f>
        <v>0.83333333333333337</v>
      </c>
      <c r="D21" s="2" t="s">
        <v>59</v>
      </c>
      <c r="E21" s="3">
        <f>2/6</f>
        <v>0.33333333333333331</v>
      </c>
      <c r="F21" s="2" t="s">
        <v>27</v>
      </c>
      <c r="G21" s="3">
        <f>6/6</f>
        <v>1</v>
      </c>
      <c r="H21" s="2" t="s">
        <v>61</v>
      </c>
      <c r="I21" s="3">
        <f>5/7</f>
        <v>0.7142857142857143</v>
      </c>
      <c r="J21" s="2" t="s">
        <v>52</v>
      </c>
      <c r="K21" s="3">
        <f>2/2</f>
        <v>1</v>
      </c>
      <c r="L21" s="2" t="s">
        <v>62</v>
      </c>
      <c r="M21" s="3">
        <f>6/9</f>
        <v>0.66666666666666663</v>
      </c>
      <c r="N21" s="2" t="s">
        <v>68</v>
      </c>
      <c r="O21" s="3">
        <f>4/5</f>
        <v>0.8</v>
      </c>
      <c r="P21" s="2" t="s">
        <v>221</v>
      </c>
      <c r="Q21" s="3">
        <f>2/5</f>
        <v>0.4</v>
      </c>
      <c r="R21" s="2" t="s">
        <v>12</v>
      </c>
      <c r="S21" s="3">
        <f>5/5</f>
        <v>1</v>
      </c>
      <c r="T21" s="2" t="s">
        <v>49</v>
      </c>
      <c r="U21" s="3">
        <f>4/4</f>
        <v>1</v>
      </c>
      <c r="V21" s="2" t="s">
        <v>52</v>
      </c>
      <c r="W21" s="3">
        <f>2/2</f>
        <v>1</v>
      </c>
      <c r="X21" s="2" t="s">
        <v>234</v>
      </c>
      <c r="Y21" s="3">
        <f>5/9</f>
        <v>0.55555555555555558</v>
      </c>
    </row>
    <row r="22" spans="1:25" ht="15.75" x14ac:dyDescent="0.25">
      <c r="A22" s="6" t="s">
        <v>10</v>
      </c>
      <c r="B22" s="2" t="s">
        <v>88</v>
      </c>
      <c r="C22" s="3">
        <f>1/2</f>
        <v>0.5</v>
      </c>
      <c r="D22" s="2" t="s">
        <v>140</v>
      </c>
      <c r="E22" s="3">
        <f>0/2</f>
        <v>0</v>
      </c>
      <c r="F22" s="2" t="s">
        <v>52</v>
      </c>
      <c r="G22" s="3">
        <f>2/2</f>
        <v>1</v>
      </c>
      <c r="H22" s="2" t="s">
        <v>15</v>
      </c>
      <c r="I22" s="3">
        <f>1/1</f>
        <v>1</v>
      </c>
      <c r="J22" s="2" t="s">
        <v>13</v>
      </c>
      <c r="K22" s="3" t="s">
        <v>13</v>
      </c>
      <c r="L22" s="2" t="s">
        <v>52</v>
      </c>
      <c r="M22" s="3">
        <f>2/2</f>
        <v>1</v>
      </c>
      <c r="N22" s="2" t="s">
        <v>88</v>
      </c>
      <c r="O22" s="3">
        <f>1/2</f>
        <v>0.5</v>
      </c>
      <c r="P22" s="2" t="s">
        <v>140</v>
      </c>
      <c r="Q22" s="3">
        <f>0/2</f>
        <v>0</v>
      </c>
      <c r="R22" s="2" t="s">
        <v>52</v>
      </c>
      <c r="S22" s="3">
        <f>2/2</f>
        <v>1</v>
      </c>
      <c r="T22" s="2" t="s">
        <v>15</v>
      </c>
      <c r="U22" s="3">
        <f>1/1</f>
        <v>1</v>
      </c>
      <c r="V22" s="2" t="s">
        <v>13</v>
      </c>
      <c r="W22" s="3" t="s">
        <v>13</v>
      </c>
      <c r="X22" s="2" t="s">
        <v>52</v>
      </c>
      <c r="Y22" s="3">
        <f>2/2</f>
        <v>1</v>
      </c>
    </row>
    <row r="23" spans="1:25" ht="15.75" x14ac:dyDescent="0.25">
      <c r="A23" s="6" t="s">
        <v>14</v>
      </c>
      <c r="B23" s="2" t="s">
        <v>15</v>
      </c>
      <c r="C23" s="3">
        <f>1/1</f>
        <v>1</v>
      </c>
      <c r="D23" s="2" t="s">
        <v>16</v>
      </c>
      <c r="E23" s="3">
        <f>0/1</f>
        <v>0</v>
      </c>
      <c r="F23" s="2" t="s">
        <v>15</v>
      </c>
      <c r="G23" s="3">
        <f>1/1</f>
        <v>1</v>
      </c>
      <c r="H23" s="2" t="s">
        <v>15</v>
      </c>
      <c r="I23" s="3">
        <f>1/1</f>
        <v>1</v>
      </c>
      <c r="J23" s="2" t="s">
        <v>13</v>
      </c>
      <c r="K23" s="3" t="s">
        <v>13</v>
      </c>
      <c r="L23" s="2" t="s">
        <v>15</v>
      </c>
      <c r="M23" s="3">
        <f>1/1</f>
        <v>1</v>
      </c>
      <c r="N23" s="2" t="s">
        <v>13</v>
      </c>
      <c r="O23" s="2" t="s">
        <v>13</v>
      </c>
      <c r="P23" s="2" t="s">
        <v>13</v>
      </c>
      <c r="Q23" s="3" t="s">
        <v>13</v>
      </c>
      <c r="R23" s="2" t="s">
        <v>13</v>
      </c>
      <c r="S23" s="2" t="s">
        <v>13</v>
      </c>
      <c r="T23" s="2" t="s">
        <v>13</v>
      </c>
      <c r="U23" s="2" t="s">
        <v>13</v>
      </c>
      <c r="V23" s="2" t="s">
        <v>13</v>
      </c>
      <c r="W23" s="3" t="s">
        <v>13</v>
      </c>
      <c r="X23" s="2" t="s">
        <v>13</v>
      </c>
      <c r="Y23" s="2" t="s">
        <v>13</v>
      </c>
    </row>
    <row r="24" spans="1:25" ht="15.75" x14ac:dyDescent="0.25">
      <c r="A24" s="6" t="s">
        <v>17</v>
      </c>
      <c r="B24" s="2" t="s">
        <v>110</v>
      </c>
      <c r="C24" s="3">
        <f>2/3</f>
        <v>0.66666666666666663</v>
      </c>
      <c r="D24" s="2" t="s">
        <v>110</v>
      </c>
      <c r="E24" s="3">
        <f>2/3</f>
        <v>0.66666666666666663</v>
      </c>
      <c r="F24" s="2" t="s">
        <v>46</v>
      </c>
      <c r="G24" s="3">
        <f>3/3</f>
        <v>1</v>
      </c>
      <c r="H24" s="2" t="s">
        <v>52</v>
      </c>
      <c r="I24" s="3">
        <f>2/2</f>
        <v>1</v>
      </c>
      <c r="J24" s="2" t="s">
        <v>52</v>
      </c>
      <c r="K24" s="3">
        <f>2/2</f>
        <v>1</v>
      </c>
      <c r="L24" s="2" t="s">
        <v>46</v>
      </c>
      <c r="M24" s="3">
        <f>3/3</f>
        <v>1</v>
      </c>
      <c r="N24" s="2" t="s">
        <v>110</v>
      </c>
      <c r="O24" s="3">
        <f>2/3</f>
        <v>0.66666666666666663</v>
      </c>
      <c r="P24" s="2" t="s">
        <v>110</v>
      </c>
      <c r="Q24" s="3">
        <f>2/3</f>
        <v>0.66666666666666663</v>
      </c>
      <c r="R24" s="2" t="s">
        <v>46</v>
      </c>
      <c r="S24" s="3">
        <f>3/3</f>
        <v>1</v>
      </c>
      <c r="T24" s="2" t="s">
        <v>52</v>
      </c>
      <c r="U24" s="3">
        <f>2/2</f>
        <v>1</v>
      </c>
      <c r="V24" s="2" t="s">
        <v>52</v>
      </c>
      <c r="W24" s="3">
        <f>2/2</f>
        <v>1</v>
      </c>
      <c r="X24" s="2" t="s">
        <v>46</v>
      </c>
      <c r="Y24" s="3">
        <f>3/3</f>
        <v>1</v>
      </c>
    </row>
    <row r="25" spans="1:25" ht="15.75" x14ac:dyDescent="0.25">
      <c r="A25" s="6" t="s">
        <v>18</v>
      </c>
      <c r="B25" s="2" t="s">
        <v>148</v>
      </c>
      <c r="C25" s="3">
        <f>11/13</f>
        <v>0.84615384615384615</v>
      </c>
      <c r="D25" s="2" t="s">
        <v>153</v>
      </c>
      <c r="E25" s="3">
        <f>9/13</f>
        <v>0.69230769230769229</v>
      </c>
      <c r="F25" s="2" t="s">
        <v>54</v>
      </c>
      <c r="G25" s="3">
        <f>13/13</f>
        <v>1</v>
      </c>
      <c r="H25" s="2" t="s">
        <v>198</v>
      </c>
      <c r="I25" s="3">
        <f>11/11</f>
        <v>1</v>
      </c>
      <c r="J25" s="2" t="s">
        <v>28</v>
      </c>
      <c r="K25" s="3">
        <f>9/9</f>
        <v>1</v>
      </c>
      <c r="L25" s="2" t="s">
        <v>241</v>
      </c>
      <c r="M25" s="3">
        <f>13/21</f>
        <v>0.61904761904761907</v>
      </c>
      <c r="N25" s="2" t="s">
        <v>225</v>
      </c>
      <c r="O25" s="3">
        <f>13/17</f>
        <v>0.76470588235294112</v>
      </c>
      <c r="P25" s="2" t="s">
        <v>226</v>
      </c>
      <c r="Q25" s="3">
        <f>11/17</f>
        <v>0.6470588235294118</v>
      </c>
      <c r="R25" s="2" t="s">
        <v>67</v>
      </c>
      <c r="S25" s="3">
        <f>17/17</f>
        <v>1</v>
      </c>
      <c r="T25" s="2" t="s">
        <v>54</v>
      </c>
      <c r="U25" s="3">
        <f>13/13</f>
        <v>1</v>
      </c>
      <c r="V25" s="2" t="s">
        <v>198</v>
      </c>
      <c r="W25" s="3">
        <f>11/11</f>
        <v>1</v>
      </c>
      <c r="X25" s="2" t="s">
        <v>238</v>
      </c>
      <c r="Y25" s="3">
        <f>17/32</f>
        <v>0.53125</v>
      </c>
    </row>
    <row r="26" spans="1:25" ht="15.75" x14ac:dyDescent="0.25">
      <c r="A26" s="6" t="s">
        <v>22</v>
      </c>
      <c r="B26" s="2" t="s">
        <v>131</v>
      </c>
      <c r="C26" s="3">
        <f>14/16</f>
        <v>0.875</v>
      </c>
      <c r="D26" s="2" t="s">
        <v>187</v>
      </c>
      <c r="E26" s="3">
        <f>4/16</f>
        <v>0.25</v>
      </c>
      <c r="F26" s="2" t="s">
        <v>21</v>
      </c>
      <c r="G26" s="3">
        <f>15/16</f>
        <v>0.9375</v>
      </c>
      <c r="H26" s="2" t="s">
        <v>131</v>
      </c>
      <c r="I26" s="3">
        <f>14/16</f>
        <v>0.875</v>
      </c>
      <c r="J26" s="2" t="s">
        <v>49</v>
      </c>
      <c r="K26" s="3">
        <f>4/4</f>
        <v>1</v>
      </c>
      <c r="L26" s="2" t="s">
        <v>217</v>
      </c>
      <c r="M26" s="3">
        <f>15/21</f>
        <v>0.7142857142857143</v>
      </c>
      <c r="N26" s="2" t="s">
        <v>87</v>
      </c>
      <c r="O26" s="3">
        <f>17/20</f>
        <v>0.85</v>
      </c>
      <c r="P26" s="2" t="s">
        <v>58</v>
      </c>
      <c r="Q26" s="3">
        <f>4/20</f>
        <v>0.2</v>
      </c>
      <c r="R26" s="2" t="s">
        <v>39</v>
      </c>
      <c r="S26" s="3">
        <f>18/20</f>
        <v>0.9</v>
      </c>
      <c r="T26" s="2" t="s">
        <v>87</v>
      </c>
      <c r="U26" s="3">
        <f>17/20</f>
        <v>0.85</v>
      </c>
      <c r="V26" s="2" t="s">
        <v>49</v>
      </c>
      <c r="W26" s="3">
        <f>4/4</f>
        <v>1</v>
      </c>
      <c r="X26" s="2" t="s">
        <v>236</v>
      </c>
      <c r="Y26" s="3">
        <f>18/24</f>
        <v>0.75</v>
      </c>
    </row>
    <row r="27" spans="1:25" ht="15.75" x14ac:dyDescent="0.25">
      <c r="A27" s="6" t="s">
        <v>107</v>
      </c>
      <c r="B27" s="2" t="s">
        <v>16</v>
      </c>
      <c r="C27" s="3">
        <f>0/1</f>
        <v>0</v>
      </c>
      <c r="D27" s="2" t="s">
        <v>16</v>
      </c>
      <c r="E27" s="3">
        <f>0/1</f>
        <v>0</v>
      </c>
      <c r="F27" s="2" t="s">
        <v>15</v>
      </c>
      <c r="G27" s="3">
        <f>1/1</f>
        <v>1</v>
      </c>
      <c r="H27" s="2" t="s">
        <v>13</v>
      </c>
      <c r="I27" s="2" t="s">
        <v>13</v>
      </c>
      <c r="J27" s="2" t="s">
        <v>13</v>
      </c>
      <c r="K27" s="2" t="s">
        <v>13</v>
      </c>
      <c r="L27" s="2" t="s">
        <v>232</v>
      </c>
      <c r="M27" s="3">
        <f>1/9</f>
        <v>0.1111111111111111</v>
      </c>
      <c r="N27" s="2" t="s">
        <v>16</v>
      </c>
      <c r="O27" s="3">
        <f>0/1</f>
        <v>0</v>
      </c>
      <c r="P27" s="2" t="s">
        <v>16</v>
      </c>
      <c r="Q27" s="3">
        <f>0/1</f>
        <v>0</v>
      </c>
      <c r="R27" s="2" t="s">
        <v>15</v>
      </c>
      <c r="S27" s="3">
        <f>1/1</f>
        <v>1</v>
      </c>
      <c r="T27" s="2" t="s">
        <v>13</v>
      </c>
      <c r="U27" s="2" t="s">
        <v>13</v>
      </c>
      <c r="V27" s="2" t="s">
        <v>13</v>
      </c>
      <c r="W27" s="2" t="s">
        <v>13</v>
      </c>
      <c r="X27" s="2" t="s">
        <v>232</v>
      </c>
      <c r="Y27" s="3">
        <f>1/9</f>
        <v>0.1111111111111111</v>
      </c>
    </row>
    <row r="28" spans="1:25" ht="15.75" x14ac:dyDescent="0.25">
      <c r="A28" s="6" t="s">
        <v>108</v>
      </c>
      <c r="B28" s="2" t="s">
        <v>15</v>
      </c>
      <c r="C28" s="3">
        <f>1/1</f>
        <v>1</v>
      </c>
      <c r="D28" s="2" t="s">
        <v>16</v>
      </c>
      <c r="E28" s="3">
        <f>0/1</f>
        <v>0</v>
      </c>
      <c r="F28" s="2" t="s">
        <v>15</v>
      </c>
      <c r="G28" s="3">
        <f>1/1</f>
        <v>1</v>
      </c>
      <c r="H28" s="2" t="s">
        <v>15</v>
      </c>
      <c r="I28" s="3">
        <f>1/1</f>
        <v>1</v>
      </c>
      <c r="J28" s="2" t="s">
        <v>13</v>
      </c>
      <c r="K28" s="2" t="s">
        <v>13</v>
      </c>
      <c r="L28" s="2" t="s">
        <v>15</v>
      </c>
      <c r="M28" s="3">
        <f>1/1</f>
        <v>1</v>
      </c>
      <c r="N28" s="2" t="s">
        <v>13</v>
      </c>
      <c r="O28" s="2" t="s">
        <v>13</v>
      </c>
      <c r="P28" s="2" t="s">
        <v>13</v>
      </c>
      <c r="Q28" s="3" t="s">
        <v>13</v>
      </c>
      <c r="R28" s="2" t="s">
        <v>13</v>
      </c>
      <c r="S28" s="2" t="s">
        <v>13</v>
      </c>
      <c r="T28" s="2" t="s">
        <v>13</v>
      </c>
      <c r="U28" s="2" t="s">
        <v>13</v>
      </c>
      <c r="V28" s="2" t="s">
        <v>13</v>
      </c>
      <c r="W28" s="3" t="s">
        <v>13</v>
      </c>
      <c r="X28" s="2" t="s">
        <v>13</v>
      </c>
      <c r="Y28" s="2" t="s">
        <v>13</v>
      </c>
    </row>
    <row r="29" spans="1:25" x14ac:dyDescent="0.25"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4"/>
      <c r="Y29" s="10"/>
    </row>
    <row r="30" spans="1:25" ht="15.75" x14ac:dyDescent="0.25">
      <c r="A30" s="6" t="s">
        <v>30</v>
      </c>
      <c r="B30" s="2" t="s">
        <v>229</v>
      </c>
      <c r="C30" s="3">
        <f>35/43</f>
        <v>0.81395348837209303</v>
      </c>
      <c r="D30" s="2" t="s">
        <v>230</v>
      </c>
      <c r="E30" s="3">
        <f>17/43</f>
        <v>0.39534883720930231</v>
      </c>
      <c r="F30" s="2" t="s">
        <v>91</v>
      </c>
      <c r="G30" s="3">
        <f>42/43</f>
        <v>0.97674418604651159</v>
      </c>
      <c r="H30" s="2" t="s">
        <v>228</v>
      </c>
      <c r="I30" s="3">
        <f>35/39</f>
        <v>0.89743589743589747</v>
      </c>
      <c r="J30" s="2" t="s">
        <v>67</v>
      </c>
      <c r="K30" s="3">
        <f>17/17</f>
        <v>1</v>
      </c>
      <c r="L30" s="2" t="s">
        <v>242</v>
      </c>
      <c r="M30" s="3">
        <f>42/67</f>
        <v>0.62686567164179108</v>
      </c>
      <c r="N30" s="2" t="s">
        <v>227</v>
      </c>
      <c r="O30" s="3">
        <f>37/48</f>
        <v>0.77083333333333337</v>
      </c>
      <c r="P30" s="2" t="s">
        <v>151</v>
      </c>
      <c r="Q30" s="3">
        <f>19/48</f>
        <v>0.39583333333333331</v>
      </c>
      <c r="R30" s="2" t="s">
        <v>240</v>
      </c>
      <c r="S30" s="3">
        <f>46/48</f>
        <v>0.95833333333333337</v>
      </c>
      <c r="T30" s="2" t="s">
        <v>69</v>
      </c>
      <c r="U30" s="3">
        <f>37/40</f>
        <v>0.92500000000000004</v>
      </c>
      <c r="V30" s="2" t="s">
        <v>73</v>
      </c>
      <c r="W30" s="3">
        <f>19/19</f>
        <v>1</v>
      </c>
      <c r="X30" s="2" t="s">
        <v>239</v>
      </c>
      <c r="Y30" s="3">
        <f>46/79</f>
        <v>0.58227848101265822</v>
      </c>
    </row>
  </sheetData>
  <mergeCells count="24">
    <mergeCell ref="X20:Y20"/>
    <mergeCell ref="B20:C20"/>
    <mergeCell ref="D20:E20"/>
    <mergeCell ref="F20:G20"/>
    <mergeCell ref="H20:I20"/>
    <mergeCell ref="J20:K20"/>
    <mergeCell ref="L20:M20"/>
    <mergeCell ref="N20:O20"/>
    <mergeCell ref="P20:Q20"/>
    <mergeCell ref="R20:S20"/>
    <mergeCell ref="T20:U20"/>
    <mergeCell ref="V20:W20"/>
    <mergeCell ref="X3:Y3"/>
    <mergeCell ref="B3:C3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V3:W3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0"/>
  <sheetViews>
    <sheetView topLeftCell="H1" workbookViewId="0">
      <selection activeCell="N1" sqref="N1:N1048576"/>
    </sheetView>
  </sheetViews>
  <sheetFormatPr baseColWidth="10" defaultRowHeight="15" x14ac:dyDescent="0.25"/>
  <cols>
    <col min="2" max="25" width="12.7109375" customWidth="1"/>
  </cols>
  <sheetData>
    <row r="1" spans="1:25" ht="18.75" x14ac:dyDescent="0.3">
      <c r="A1" s="7" t="s">
        <v>0</v>
      </c>
    </row>
    <row r="2" spans="1:25" ht="15.75" x14ac:dyDescent="0.25">
      <c r="A2" s="6"/>
    </row>
    <row r="3" spans="1:25" ht="15.75" x14ac:dyDescent="0.25">
      <c r="B3" s="15" t="s">
        <v>1</v>
      </c>
      <c r="C3" s="15"/>
      <c r="D3" s="16" t="s">
        <v>41</v>
      </c>
      <c r="E3" s="16"/>
      <c r="F3" s="15" t="s">
        <v>2</v>
      </c>
      <c r="G3" s="15"/>
      <c r="H3" s="15" t="s">
        <v>3</v>
      </c>
      <c r="I3" s="15"/>
      <c r="J3" s="15" t="s">
        <v>42</v>
      </c>
      <c r="K3" s="15"/>
      <c r="L3" s="15" t="s">
        <v>4</v>
      </c>
      <c r="M3" s="15"/>
      <c r="N3" s="15" t="s">
        <v>5</v>
      </c>
      <c r="O3" s="15"/>
      <c r="P3" s="15" t="s">
        <v>43</v>
      </c>
      <c r="Q3" s="15"/>
      <c r="R3" s="15" t="s">
        <v>6</v>
      </c>
      <c r="S3" s="15"/>
      <c r="T3" s="15" t="s">
        <v>7</v>
      </c>
      <c r="U3" s="15"/>
      <c r="V3" s="15" t="s">
        <v>44</v>
      </c>
      <c r="W3" s="15"/>
      <c r="X3" s="15" t="s">
        <v>8</v>
      </c>
      <c r="Y3" s="15"/>
    </row>
    <row r="4" spans="1:25" ht="15.75" x14ac:dyDescent="0.25">
      <c r="A4" s="6" t="s">
        <v>106</v>
      </c>
      <c r="B4" s="2" t="s">
        <v>24</v>
      </c>
      <c r="C4" s="3">
        <f>7/8</f>
        <v>0.875</v>
      </c>
      <c r="D4" s="2" t="s">
        <v>97</v>
      </c>
      <c r="E4" s="3">
        <f>3/8</f>
        <v>0.375</v>
      </c>
      <c r="F4" s="2" t="s">
        <v>24</v>
      </c>
      <c r="G4" s="3">
        <f>7/8</f>
        <v>0.875</v>
      </c>
      <c r="H4" s="2" t="s">
        <v>35</v>
      </c>
      <c r="I4" s="3">
        <f>7/7</f>
        <v>1</v>
      </c>
      <c r="J4" s="2" t="s">
        <v>46</v>
      </c>
      <c r="K4" s="3">
        <f>3/3</f>
        <v>1</v>
      </c>
      <c r="L4" s="2" t="s">
        <v>24</v>
      </c>
      <c r="M4" s="3">
        <f>7/8</f>
        <v>0.875</v>
      </c>
      <c r="N4" s="2" t="s">
        <v>26</v>
      </c>
      <c r="O4" s="3">
        <f>6/7</f>
        <v>0.8571428571428571</v>
      </c>
      <c r="P4" s="2" t="s">
        <v>29</v>
      </c>
      <c r="Q4" s="3">
        <f>3/7</f>
        <v>0.42857142857142855</v>
      </c>
      <c r="R4" s="2" t="s">
        <v>35</v>
      </c>
      <c r="S4" s="3">
        <f>7/7</f>
        <v>1</v>
      </c>
      <c r="T4" s="2" t="s">
        <v>27</v>
      </c>
      <c r="U4" s="3">
        <f>6/6</f>
        <v>1</v>
      </c>
      <c r="V4" s="2" t="s">
        <v>46</v>
      </c>
      <c r="W4" s="3">
        <f>3/3</f>
        <v>1</v>
      </c>
      <c r="X4" s="2" t="s">
        <v>24</v>
      </c>
      <c r="Y4" s="3">
        <f>7/8</f>
        <v>0.875</v>
      </c>
    </row>
    <row r="5" spans="1:25" ht="15.75" x14ac:dyDescent="0.25">
      <c r="A5" s="6" t="s">
        <v>10</v>
      </c>
      <c r="B5" s="2" t="s">
        <v>140</v>
      </c>
      <c r="C5" s="3">
        <f>0/2</f>
        <v>0</v>
      </c>
      <c r="D5" s="2" t="s">
        <v>140</v>
      </c>
      <c r="E5" s="3">
        <f>0/2</f>
        <v>0</v>
      </c>
      <c r="F5" s="2" t="s">
        <v>52</v>
      </c>
      <c r="G5" s="3">
        <f>2/2</f>
        <v>1</v>
      </c>
      <c r="H5" s="2" t="s">
        <v>13</v>
      </c>
      <c r="I5" s="3" t="s">
        <v>13</v>
      </c>
      <c r="J5" s="2" t="s">
        <v>13</v>
      </c>
      <c r="K5" s="3" t="s">
        <v>13</v>
      </c>
      <c r="L5" s="2" t="s">
        <v>52</v>
      </c>
      <c r="M5" s="3">
        <f>2/2</f>
        <v>1</v>
      </c>
      <c r="N5" s="2" t="s">
        <v>140</v>
      </c>
      <c r="O5" s="3">
        <f>0/2</f>
        <v>0</v>
      </c>
      <c r="P5" s="2" t="s">
        <v>140</v>
      </c>
      <c r="Q5" s="3">
        <f>0/2</f>
        <v>0</v>
      </c>
      <c r="R5" s="2" t="s">
        <v>52</v>
      </c>
      <c r="S5" s="3">
        <f>2/2</f>
        <v>1</v>
      </c>
      <c r="T5" s="2" t="s">
        <v>13</v>
      </c>
      <c r="U5" s="3" t="s">
        <v>13</v>
      </c>
      <c r="V5" s="2" t="s">
        <v>13</v>
      </c>
      <c r="W5" s="3" t="s">
        <v>13</v>
      </c>
      <c r="X5" s="2" t="s">
        <v>52</v>
      </c>
      <c r="Y5" s="3">
        <f>2/2</f>
        <v>1</v>
      </c>
    </row>
    <row r="6" spans="1:25" ht="15.75" x14ac:dyDescent="0.25">
      <c r="A6" s="6" t="s">
        <v>14</v>
      </c>
      <c r="B6" s="2" t="s">
        <v>52</v>
      </c>
      <c r="C6" s="3">
        <f>2/2</f>
        <v>1</v>
      </c>
      <c r="D6" s="2" t="s">
        <v>140</v>
      </c>
      <c r="E6" s="3">
        <f>0/2</f>
        <v>0</v>
      </c>
      <c r="F6" s="2" t="s">
        <v>88</v>
      </c>
      <c r="G6" s="3">
        <f>1/2</f>
        <v>0.5</v>
      </c>
      <c r="H6" s="2" t="s">
        <v>52</v>
      </c>
      <c r="I6" s="3">
        <f>2/2</f>
        <v>1</v>
      </c>
      <c r="J6" s="2" t="s">
        <v>13</v>
      </c>
      <c r="K6" s="3" t="s">
        <v>13</v>
      </c>
      <c r="L6" s="2" t="s">
        <v>15</v>
      </c>
      <c r="M6" s="3">
        <f>1/1</f>
        <v>1</v>
      </c>
      <c r="N6" s="2" t="s">
        <v>13</v>
      </c>
      <c r="O6" s="2" t="s">
        <v>13</v>
      </c>
      <c r="P6" s="2" t="s">
        <v>13</v>
      </c>
      <c r="Q6" s="3" t="s">
        <v>13</v>
      </c>
      <c r="R6" s="2" t="s">
        <v>13</v>
      </c>
      <c r="S6" s="3" t="s">
        <v>13</v>
      </c>
      <c r="T6" s="2" t="s">
        <v>13</v>
      </c>
      <c r="U6" s="2" t="s">
        <v>13</v>
      </c>
      <c r="V6" s="2" t="s">
        <v>13</v>
      </c>
      <c r="W6" s="3" t="s">
        <v>13</v>
      </c>
      <c r="X6" s="2" t="s">
        <v>13</v>
      </c>
      <c r="Y6" s="3" t="s">
        <v>13</v>
      </c>
    </row>
    <row r="7" spans="1:25" ht="15.75" x14ac:dyDescent="0.25">
      <c r="A7" s="6" t="s">
        <v>17</v>
      </c>
      <c r="B7" s="2" t="s">
        <v>110</v>
      </c>
      <c r="C7" s="3">
        <f>2/3</f>
        <v>0.66666666666666663</v>
      </c>
      <c r="D7" s="2" t="s">
        <v>110</v>
      </c>
      <c r="E7" s="3">
        <f>2/3</f>
        <v>0.66666666666666663</v>
      </c>
      <c r="F7" s="2" t="s">
        <v>46</v>
      </c>
      <c r="G7" s="3">
        <f>3/3</f>
        <v>1</v>
      </c>
      <c r="H7" s="2" t="s">
        <v>110</v>
      </c>
      <c r="I7" s="3">
        <f>2/3</f>
        <v>0.66666666666666663</v>
      </c>
      <c r="J7" s="2" t="s">
        <v>52</v>
      </c>
      <c r="K7" s="3">
        <f>2/2</f>
        <v>1</v>
      </c>
      <c r="L7" s="2" t="s">
        <v>46</v>
      </c>
      <c r="M7" s="3">
        <f>3/3</f>
        <v>1</v>
      </c>
      <c r="N7" s="2" t="s">
        <v>110</v>
      </c>
      <c r="O7" s="3">
        <f>2/3</f>
        <v>0.66666666666666663</v>
      </c>
      <c r="P7" s="2" t="s">
        <v>110</v>
      </c>
      <c r="Q7" s="3">
        <f>2/3</f>
        <v>0.66666666666666663</v>
      </c>
      <c r="R7" s="2" t="s">
        <v>46</v>
      </c>
      <c r="S7" s="3">
        <f>3/3</f>
        <v>1</v>
      </c>
      <c r="T7" s="2" t="s">
        <v>81</v>
      </c>
      <c r="U7" s="3">
        <f>2/7</f>
        <v>0.2857142857142857</v>
      </c>
      <c r="V7" s="2" t="s">
        <v>52</v>
      </c>
      <c r="W7" s="3">
        <f>2/2</f>
        <v>1</v>
      </c>
      <c r="X7" s="2" t="s">
        <v>46</v>
      </c>
      <c r="Y7" s="3">
        <f>3/3</f>
        <v>1</v>
      </c>
    </row>
    <row r="8" spans="1:25" ht="15.75" x14ac:dyDescent="0.25">
      <c r="A8" s="6" t="s">
        <v>18</v>
      </c>
      <c r="B8" s="2" t="s">
        <v>31</v>
      </c>
      <c r="C8" s="3">
        <f>21/22</f>
        <v>0.95454545454545459</v>
      </c>
      <c r="D8" s="2" t="s">
        <v>180</v>
      </c>
      <c r="E8" s="3">
        <f>14/22</f>
        <v>0.63636363636363635</v>
      </c>
      <c r="F8" s="2" t="s">
        <v>55</v>
      </c>
      <c r="G8" s="3">
        <f>22/22</f>
        <v>1</v>
      </c>
      <c r="H8" s="2" t="s">
        <v>60</v>
      </c>
      <c r="I8" s="3">
        <f>21/21</f>
        <v>1</v>
      </c>
      <c r="J8" s="2" t="s">
        <v>95</v>
      </c>
      <c r="K8" s="3">
        <f>14/14</f>
        <v>1</v>
      </c>
      <c r="L8" s="2" t="s">
        <v>260</v>
      </c>
      <c r="M8" s="3">
        <f>22/29</f>
        <v>0.75862068965517238</v>
      </c>
      <c r="N8" s="2" t="s">
        <v>249</v>
      </c>
      <c r="O8" s="3">
        <f>25/30</f>
        <v>0.83333333333333337</v>
      </c>
      <c r="P8" s="2" t="s">
        <v>250</v>
      </c>
      <c r="Q8" s="3">
        <f>15/30</f>
        <v>0.5</v>
      </c>
      <c r="R8" s="2" t="s">
        <v>262</v>
      </c>
      <c r="S8" s="3">
        <f>29/30</f>
        <v>0.96666666666666667</v>
      </c>
      <c r="T8" s="2" t="s">
        <v>112</v>
      </c>
      <c r="U8" s="3">
        <f>25/27</f>
        <v>0.92592592592592593</v>
      </c>
      <c r="V8" s="2" t="s">
        <v>47</v>
      </c>
      <c r="W8" s="3">
        <f>15/15</f>
        <v>1</v>
      </c>
      <c r="X8" s="2" t="s">
        <v>265</v>
      </c>
      <c r="Y8" s="3">
        <f>29/38</f>
        <v>0.76315789473684215</v>
      </c>
    </row>
    <row r="9" spans="1:25" ht="15.75" x14ac:dyDescent="0.25">
      <c r="A9" s="6" t="s">
        <v>22</v>
      </c>
      <c r="B9" s="2" t="s">
        <v>131</v>
      </c>
      <c r="C9" s="3">
        <f>14/16</f>
        <v>0.875</v>
      </c>
      <c r="D9" s="2" t="s">
        <v>243</v>
      </c>
      <c r="E9" s="3">
        <f>5/16</f>
        <v>0.3125</v>
      </c>
      <c r="F9" s="2" t="s">
        <v>131</v>
      </c>
      <c r="G9" s="3">
        <f>14/16</f>
        <v>0.875</v>
      </c>
      <c r="H9" s="2" t="s">
        <v>95</v>
      </c>
      <c r="I9" s="3">
        <f>14/14</f>
        <v>1</v>
      </c>
      <c r="J9" s="2" t="s">
        <v>11</v>
      </c>
      <c r="K9" s="3">
        <f>5/6</f>
        <v>0.83333333333333337</v>
      </c>
      <c r="L9" s="2" t="s">
        <v>84</v>
      </c>
      <c r="M9" s="3">
        <f>14/20</f>
        <v>0.7</v>
      </c>
      <c r="N9" s="2" t="s">
        <v>217</v>
      </c>
      <c r="O9" s="3">
        <f>15/21</f>
        <v>0.7142857142857143</v>
      </c>
      <c r="P9" s="2" t="s">
        <v>251</v>
      </c>
      <c r="Q9" s="3">
        <f>5/21</f>
        <v>0.23809523809523808</v>
      </c>
      <c r="R9" s="2" t="s">
        <v>263</v>
      </c>
      <c r="S9" s="3">
        <f>17/21</f>
        <v>0.80952380952380953</v>
      </c>
      <c r="T9" s="2" t="s">
        <v>47</v>
      </c>
      <c r="U9" s="3">
        <f>15/15</f>
        <v>1</v>
      </c>
      <c r="V9" s="2" t="s">
        <v>11</v>
      </c>
      <c r="W9" s="3">
        <f>5/6</f>
        <v>0.83333333333333337</v>
      </c>
      <c r="X9" s="2" t="s">
        <v>266</v>
      </c>
      <c r="Y9" s="3">
        <f>17/23</f>
        <v>0.73913043478260865</v>
      </c>
    </row>
    <row r="10" spans="1:25" ht="15.75" x14ac:dyDescent="0.25">
      <c r="A10" s="6" t="s">
        <v>107</v>
      </c>
      <c r="B10" s="2" t="s">
        <v>88</v>
      </c>
      <c r="C10" s="3">
        <f>1/2</f>
        <v>0.5</v>
      </c>
      <c r="D10" s="2" t="s">
        <v>88</v>
      </c>
      <c r="E10" s="3">
        <f>1/2</f>
        <v>0.5</v>
      </c>
      <c r="F10" s="2" t="s">
        <v>52</v>
      </c>
      <c r="G10" s="3">
        <f>2/2</f>
        <v>1</v>
      </c>
      <c r="H10" s="2" t="s">
        <v>246</v>
      </c>
      <c r="I10" s="3">
        <f>1/4</f>
        <v>0.25</v>
      </c>
      <c r="J10" s="2" t="s">
        <v>15</v>
      </c>
      <c r="K10" s="3">
        <f>1/1</f>
        <v>1</v>
      </c>
      <c r="L10" s="2" t="s">
        <v>213</v>
      </c>
      <c r="M10" s="3">
        <f>2/11</f>
        <v>0.18181818181818182</v>
      </c>
      <c r="N10" s="2" t="s">
        <v>88</v>
      </c>
      <c r="O10" s="3">
        <f>1/2</f>
        <v>0.5</v>
      </c>
      <c r="P10" s="2" t="s">
        <v>140</v>
      </c>
      <c r="Q10" s="3">
        <f>0/2</f>
        <v>0</v>
      </c>
      <c r="R10" s="2" t="s">
        <v>52</v>
      </c>
      <c r="S10" s="3">
        <f>2/2</f>
        <v>1</v>
      </c>
      <c r="T10" s="2" t="s">
        <v>15</v>
      </c>
      <c r="U10" s="3">
        <f>1/2</f>
        <v>0.5</v>
      </c>
      <c r="V10" s="2" t="s">
        <v>13</v>
      </c>
      <c r="W10" s="3" t="s">
        <v>13</v>
      </c>
      <c r="X10" s="2" t="s">
        <v>213</v>
      </c>
      <c r="Y10" s="3">
        <f>2/11</f>
        <v>0.18181818181818182</v>
      </c>
    </row>
    <row r="11" spans="1:25" ht="15.75" x14ac:dyDescent="0.25">
      <c r="A11" s="6" t="s">
        <v>108</v>
      </c>
      <c r="B11" s="8" t="s">
        <v>9</v>
      </c>
      <c r="C11" s="5"/>
      <c r="D11" s="4"/>
      <c r="E11" s="5"/>
      <c r="F11" s="4"/>
      <c r="G11" s="5"/>
      <c r="H11" s="4"/>
      <c r="I11" s="5"/>
      <c r="J11" s="4"/>
      <c r="K11" s="5"/>
      <c r="L11" s="4"/>
      <c r="M11" s="4"/>
      <c r="N11" s="4"/>
      <c r="O11" s="4"/>
      <c r="P11" s="4"/>
      <c r="Q11" s="5"/>
      <c r="R11" s="4"/>
      <c r="S11" s="5"/>
      <c r="T11" s="4"/>
      <c r="U11" s="4"/>
      <c r="V11" s="4"/>
      <c r="W11" s="5"/>
      <c r="X11" s="4"/>
      <c r="Y11" s="5"/>
    </row>
    <row r="12" spans="1:25" x14ac:dyDescent="0.25">
      <c r="B12" s="4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</row>
    <row r="13" spans="1:25" ht="15.75" x14ac:dyDescent="0.25">
      <c r="A13" s="6" t="s">
        <v>30</v>
      </c>
      <c r="B13" s="2" t="s">
        <v>244</v>
      </c>
      <c r="C13" s="3">
        <f>47/55</f>
        <v>0.8545454545454545</v>
      </c>
      <c r="D13" s="2" t="s">
        <v>245</v>
      </c>
      <c r="E13" s="3">
        <f>25/55</f>
        <v>0.45454545454545453</v>
      </c>
      <c r="F13" s="2" t="s">
        <v>259</v>
      </c>
      <c r="G13" s="3">
        <f>51/55</f>
        <v>0.92727272727272725</v>
      </c>
      <c r="H13" s="2" t="s">
        <v>247</v>
      </c>
      <c r="I13" s="3">
        <f>47/51</f>
        <v>0.92156862745098034</v>
      </c>
      <c r="J13" s="2" t="s">
        <v>248</v>
      </c>
      <c r="K13" s="3">
        <f>25/26</f>
        <v>0.96153846153846156</v>
      </c>
      <c r="L13" s="2" t="s">
        <v>261</v>
      </c>
      <c r="M13" s="3">
        <f>51/73</f>
        <v>0.69863013698630139</v>
      </c>
      <c r="N13" s="2" t="s">
        <v>252</v>
      </c>
      <c r="O13" s="3">
        <f>49/65</f>
        <v>0.75384615384615383</v>
      </c>
      <c r="P13" s="2" t="s">
        <v>253</v>
      </c>
      <c r="Q13" s="3">
        <f>25/65</f>
        <v>0.38461538461538464</v>
      </c>
      <c r="R13" s="2" t="s">
        <v>264</v>
      </c>
      <c r="S13" s="3">
        <f>60/65</f>
        <v>0.92307692307692313</v>
      </c>
      <c r="T13" s="2" t="s">
        <v>254</v>
      </c>
      <c r="U13" s="3">
        <f>49/56</f>
        <v>0.875</v>
      </c>
      <c r="V13" s="2" t="s">
        <v>248</v>
      </c>
      <c r="W13" s="3">
        <f>25/26</f>
        <v>0.96153846153846156</v>
      </c>
      <c r="X13" s="2" t="s">
        <v>267</v>
      </c>
      <c r="Y13" s="3">
        <f>60/85</f>
        <v>0.70588235294117652</v>
      </c>
    </row>
    <row r="14" spans="1:25" x14ac:dyDescent="0.25"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2"/>
      <c r="Y14" s="11"/>
    </row>
    <row r="15" spans="1:25" x14ac:dyDescent="0.25">
      <c r="X15" s="12"/>
      <c r="Y15" s="11"/>
    </row>
    <row r="16" spans="1:25" x14ac:dyDescent="0.25">
      <c r="X16" s="12"/>
      <c r="Y16" s="11"/>
    </row>
    <row r="17" spans="1:25" x14ac:dyDescent="0.25">
      <c r="X17" s="12"/>
      <c r="Y17" s="11"/>
    </row>
    <row r="18" spans="1:25" ht="18.75" x14ac:dyDescent="0.3">
      <c r="A18" s="7" t="s">
        <v>32</v>
      </c>
      <c r="X18" s="12"/>
      <c r="Y18" s="11"/>
    </row>
    <row r="19" spans="1:25" x14ac:dyDescent="0.25">
      <c r="X19" s="13"/>
    </row>
    <row r="20" spans="1:25" ht="15.75" x14ac:dyDescent="0.25">
      <c r="B20" s="15" t="s">
        <v>1</v>
      </c>
      <c r="C20" s="15"/>
      <c r="D20" s="16" t="s">
        <v>41</v>
      </c>
      <c r="E20" s="16"/>
      <c r="F20" s="15" t="s">
        <v>2</v>
      </c>
      <c r="G20" s="15"/>
      <c r="H20" s="15" t="s">
        <v>3</v>
      </c>
      <c r="I20" s="15"/>
      <c r="J20" s="15" t="s">
        <v>42</v>
      </c>
      <c r="K20" s="15"/>
      <c r="L20" s="15" t="s">
        <v>4</v>
      </c>
      <c r="M20" s="15"/>
      <c r="N20" s="15" t="s">
        <v>5</v>
      </c>
      <c r="O20" s="15"/>
      <c r="P20" s="15" t="s">
        <v>43</v>
      </c>
      <c r="Q20" s="15"/>
      <c r="R20" s="15" t="s">
        <v>6</v>
      </c>
      <c r="S20" s="15"/>
      <c r="T20" s="15" t="s">
        <v>7</v>
      </c>
      <c r="U20" s="15"/>
      <c r="V20" s="15" t="s">
        <v>44</v>
      </c>
      <c r="W20" s="15"/>
      <c r="X20" s="15" t="s">
        <v>8</v>
      </c>
      <c r="Y20" s="15"/>
    </row>
    <row r="21" spans="1:25" ht="15.75" x14ac:dyDescent="0.25">
      <c r="A21" s="6" t="s">
        <v>106</v>
      </c>
      <c r="B21" s="2" t="s">
        <v>24</v>
      </c>
      <c r="C21" s="3">
        <f>7/8</f>
        <v>0.875</v>
      </c>
      <c r="D21" s="2" t="s">
        <v>97</v>
      </c>
      <c r="E21" s="3">
        <f>3/8</f>
        <v>0.375</v>
      </c>
      <c r="F21" s="2" t="s">
        <v>24</v>
      </c>
      <c r="G21" s="3">
        <f>7/8</f>
        <v>0.875</v>
      </c>
      <c r="H21" s="2" t="s">
        <v>35</v>
      </c>
      <c r="I21" s="3">
        <f>7/7</f>
        <v>1</v>
      </c>
      <c r="J21" s="2" t="s">
        <v>46</v>
      </c>
      <c r="K21" s="3">
        <f>3/3</f>
        <v>1</v>
      </c>
      <c r="L21" s="2" t="s">
        <v>24</v>
      </c>
      <c r="M21" s="3">
        <f>7/8</f>
        <v>0.875</v>
      </c>
      <c r="N21" s="2" t="s">
        <v>26</v>
      </c>
      <c r="O21" s="3">
        <f>6/7</f>
        <v>0.8571428571428571</v>
      </c>
      <c r="P21" s="2" t="s">
        <v>29</v>
      </c>
      <c r="Q21" s="3">
        <f>3/7</f>
        <v>0.42857142857142855</v>
      </c>
      <c r="R21" s="2" t="s">
        <v>35</v>
      </c>
      <c r="S21" s="3">
        <f>7/7</f>
        <v>1</v>
      </c>
      <c r="T21" s="2" t="s">
        <v>27</v>
      </c>
      <c r="U21" s="3">
        <f>6/6</f>
        <v>1</v>
      </c>
      <c r="V21" s="2" t="s">
        <v>46</v>
      </c>
      <c r="W21" s="3">
        <f>3/3</f>
        <v>1</v>
      </c>
      <c r="X21" s="2" t="s">
        <v>24</v>
      </c>
      <c r="Y21" s="3">
        <f>7/8</f>
        <v>0.875</v>
      </c>
    </row>
    <row r="22" spans="1:25" ht="15.75" x14ac:dyDescent="0.25">
      <c r="A22" s="6" t="s">
        <v>10</v>
      </c>
      <c r="B22" s="2" t="s">
        <v>140</v>
      </c>
      <c r="C22" s="3">
        <f>0/2</f>
        <v>0</v>
      </c>
      <c r="D22" s="2" t="s">
        <v>140</v>
      </c>
      <c r="E22" s="3">
        <f>0/2</f>
        <v>0</v>
      </c>
      <c r="F22" s="2" t="s">
        <v>52</v>
      </c>
      <c r="G22" s="3">
        <f>2/2</f>
        <v>1</v>
      </c>
      <c r="H22" s="2" t="s">
        <v>13</v>
      </c>
      <c r="I22" s="3" t="s">
        <v>13</v>
      </c>
      <c r="J22" s="2" t="s">
        <v>13</v>
      </c>
      <c r="K22" s="3" t="s">
        <v>13</v>
      </c>
      <c r="L22" s="2" t="s">
        <v>52</v>
      </c>
      <c r="M22" s="3">
        <f>2/2</f>
        <v>1</v>
      </c>
      <c r="N22" s="2" t="s">
        <v>140</v>
      </c>
      <c r="O22" s="3">
        <f>0/2</f>
        <v>0</v>
      </c>
      <c r="P22" s="2" t="s">
        <v>140</v>
      </c>
      <c r="Q22" s="3">
        <f>0/2</f>
        <v>0</v>
      </c>
      <c r="R22" s="2" t="s">
        <v>52</v>
      </c>
      <c r="S22" s="3">
        <f>2/2</f>
        <v>1</v>
      </c>
      <c r="T22" s="2" t="s">
        <v>13</v>
      </c>
      <c r="U22" s="3" t="s">
        <v>13</v>
      </c>
      <c r="V22" s="2" t="s">
        <v>13</v>
      </c>
      <c r="W22" s="3" t="s">
        <v>13</v>
      </c>
      <c r="X22" s="2" t="s">
        <v>52</v>
      </c>
      <c r="Y22" s="3">
        <f>2/2</f>
        <v>1</v>
      </c>
    </row>
    <row r="23" spans="1:25" ht="15.75" x14ac:dyDescent="0.25">
      <c r="A23" s="6" t="s">
        <v>14</v>
      </c>
      <c r="B23" s="2" t="s">
        <v>52</v>
      </c>
      <c r="C23" s="3">
        <f>2/2</f>
        <v>1</v>
      </c>
      <c r="D23" s="2" t="s">
        <v>140</v>
      </c>
      <c r="E23" s="3">
        <f>0/2</f>
        <v>0</v>
      </c>
      <c r="F23" s="2" t="s">
        <v>88</v>
      </c>
      <c r="G23" s="3">
        <f>1/2</f>
        <v>0.5</v>
      </c>
      <c r="H23" s="2" t="s">
        <v>52</v>
      </c>
      <c r="I23" s="3">
        <f>2/2</f>
        <v>1</v>
      </c>
      <c r="J23" s="2" t="s">
        <v>13</v>
      </c>
      <c r="K23" s="3" t="s">
        <v>13</v>
      </c>
      <c r="L23" s="2" t="s">
        <v>15</v>
      </c>
      <c r="M23" s="3">
        <f>1/1</f>
        <v>1</v>
      </c>
      <c r="N23" s="2" t="s">
        <v>13</v>
      </c>
      <c r="O23" s="2" t="s">
        <v>13</v>
      </c>
      <c r="P23" s="2" t="s">
        <v>13</v>
      </c>
      <c r="Q23" s="3" t="s">
        <v>13</v>
      </c>
      <c r="R23" s="2" t="s">
        <v>13</v>
      </c>
      <c r="S23" s="3" t="s">
        <v>13</v>
      </c>
      <c r="T23" s="2" t="s">
        <v>13</v>
      </c>
      <c r="U23" s="2" t="s">
        <v>13</v>
      </c>
      <c r="V23" s="2" t="s">
        <v>13</v>
      </c>
      <c r="W23" s="3" t="s">
        <v>13</v>
      </c>
      <c r="X23" s="2" t="s">
        <v>13</v>
      </c>
      <c r="Y23" s="3" t="s">
        <v>13</v>
      </c>
    </row>
    <row r="24" spans="1:25" ht="15.75" x14ac:dyDescent="0.25">
      <c r="A24" s="6" t="s">
        <v>17</v>
      </c>
      <c r="B24" s="2" t="s">
        <v>110</v>
      </c>
      <c r="C24" s="3">
        <f>2/3</f>
        <v>0.66666666666666663</v>
      </c>
      <c r="D24" s="2" t="s">
        <v>110</v>
      </c>
      <c r="E24" s="3">
        <f>2/3</f>
        <v>0.66666666666666663</v>
      </c>
      <c r="F24" s="2" t="s">
        <v>46</v>
      </c>
      <c r="G24" s="3">
        <f>3/3</f>
        <v>1</v>
      </c>
      <c r="H24" s="2" t="s">
        <v>110</v>
      </c>
      <c r="I24" s="3">
        <f>2/3</f>
        <v>0.66666666666666663</v>
      </c>
      <c r="J24" s="2" t="s">
        <v>52</v>
      </c>
      <c r="K24" s="3">
        <f>2/2</f>
        <v>1</v>
      </c>
      <c r="L24" s="2" t="s">
        <v>46</v>
      </c>
      <c r="M24" s="3">
        <f>3/3</f>
        <v>1</v>
      </c>
      <c r="N24" s="2" t="s">
        <v>110</v>
      </c>
      <c r="O24" s="3">
        <f>2/3</f>
        <v>0.66666666666666663</v>
      </c>
      <c r="P24" s="2" t="s">
        <v>110</v>
      </c>
      <c r="Q24" s="3">
        <f>2/3</f>
        <v>0.66666666666666663</v>
      </c>
      <c r="R24" s="2" t="s">
        <v>46</v>
      </c>
      <c r="S24" s="3">
        <f>3/3</f>
        <v>1</v>
      </c>
      <c r="T24" s="2" t="s">
        <v>81</v>
      </c>
      <c r="U24" s="3">
        <f>2/7</f>
        <v>0.2857142857142857</v>
      </c>
      <c r="V24" s="2" t="s">
        <v>52</v>
      </c>
      <c r="W24" s="3">
        <f>2/2</f>
        <v>1</v>
      </c>
      <c r="X24" s="2" t="s">
        <v>46</v>
      </c>
      <c r="Y24" s="3">
        <f>3/3</f>
        <v>1</v>
      </c>
    </row>
    <row r="25" spans="1:25" ht="15.75" x14ac:dyDescent="0.25">
      <c r="A25" s="6" t="s">
        <v>18</v>
      </c>
      <c r="B25" s="2" t="s">
        <v>54</v>
      </c>
      <c r="C25" s="3">
        <f>13/13</f>
        <v>1</v>
      </c>
      <c r="D25" s="2" t="s">
        <v>148</v>
      </c>
      <c r="E25" s="3">
        <f>11/13</f>
        <v>0.84615384615384615</v>
      </c>
      <c r="F25" s="2" t="s">
        <v>54</v>
      </c>
      <c r="G25" s="3">
        <f>13/13</f>
        <v>1</v>
      </c>
      <c r="H25" s="2" t="s">
        <v>54</v>
      </c>
      <c r="I25" s="3">
        <f>13/13</f>
        <v>1</v>
      </c>
      <c r="J25" s="2" t="s">
        <v>198</v>
      </c>
      <c r="K25" s="3">
        <f>11/11</f>
        <v>1</v>
      </c>
      <c r="L25" s="2" t="s">
        <v>271</v>
      </c>
      <c r="M25" s="3">
        <f>13/16</f>
        <v>0.8125</v>
      </c>
      <c r="N25" s="2" t="s">
        <v>256</v>
      </c>
      <c r="O25" s="3">
        <f>15/19</f>
        <v>0.78947368421052633</v>
      </c>
      <c r="P25" s="2" t="s">
        <v>207</v>
      </c>
      <c r="Q25" s="3">
        <f>12/19</f>
        <v>0.63157894736842102</v>
      </c>
      <c r="R25" s="2" t="s">
        <v>197</v>
      </c>
      <c r="S25" s="3">
        <f>17/19</f>
        <v>0.89473684210526316</v>
      </c>
      <c r="T25" s="2" t="s">
        <v>168</v>
      </c>
      <c r="U25" s="3">
        <f>15/17</f>
        <v>0.88235294117647056</v>
      </c>
      <c r="V25" s="2" t="s">
        <v>157</v>
      </c>
      <c r="W25" s="3">
        <f>12/12</f>
        <v>1</v>
      </c>
      <c r="X25" s="2" t="s">
        <v>268</v>
      </c>
      <c r="Y25" s="3">
        <f>17/22</f>
        <v>0.77272727272727271</v>
      </c>
    </row>
    <row r="26" spans="1:25" ht="15.75" x14ac:dyDescent="0.25">
      <c r="A26" s="6" t="s">
        <v>22</v>
      </c>
      <c r="B26" s="2" t="s">
        <v>131</v>
      </c>
      <c r="C26" s="3">
        <f>14/16</f>
        <v>0.875</v>
      </c>
      <c r="D26" s="2" t="s">
        <v>243</v>
      </c>
      <c r="E26" s="3">
        <f>5/16</f>
        <v>0.3125</v>
      </c>
      <c r="F26" s="2" t="s">
        <v>131</v>
      </c>
      <c r="G26" s="3">
        <f>14/16</f>
        <v>0.875</v>
      </c>
      <c r="H26" s="2" t="s">
        <v>95</v>
      </c>
      <c r="I26" s="3">
        <f>14/14</f>
        <v>1</v>
      </c>
      <c r="J26" s="2" t="s">
        <v>11</v>
      </c>
      <c r="K26" s="3">
        <f>5/6</f>
        <v>0.83333333333333337</v>
      </c>
      <c r="L26" s="2" t="s">
        <v>84</v>
      </c>
      <c r="M26" s="3">
        <f>14/20</f>
        <v>0.7</v>
      </c>
      <c r="N26" s="2" t="s">
        <v>217</v>
      </c>
      <c r="O26" s="3">
        <f>15/21</f>
        <v>0.7142857142857143</v>
      </c>
      <c r="P26" s="2" t="s">
        <v>251</v>
      </c>
      <c r="Q26" s="3">
        <f>5/21</f>
        <v>0.23809523809523808</v>
      </c>
      <c r="R26" s="2" t="s">
        <v>263</v>
      </c>
      <c r="S26" s="3">
        <f>17/21</f>
        <v>0.80952380952380953</v>
      </c>
      <c r="T26" s="2" t="s">
        <v>47</v>
      </c>
      <c r="U26" s="3">
        <f>15/15</f>
        <v>1</v>
      </c>
      <c r="V26" s="2" t="s">
        <v>11</v>
      </c>
      <c r="W26" s="3">
        <f>5/6</f>
        <v>0.83333333333333337</v>
      </c>
      <c r="X26" s="2" t="s">
        <v>266</v>
      </c>
      <c r="Y26" s="3">
        <f>17/23</f>
        <v>0.73913043478260865</v>
      </c>
    </row>
    <row r="27" spans="1:25" ht="15.75" x14ac:dyDescent="0.25">
      <c r="A27" s="6" t="s">
        <v>107</v>
      </c>
      <c r="B27" s="2" t="s">
        <v>88</v>
      </c>
      <c r="C27" s="3">
        <f>1/2</f>
        <v>0.5</v>
      </c>
      <c r="D27" s="2" t="s">
        <v>88</v>
      </c>
      <c r="E27" s="3">
        <f>1/2</f>
        <v>0.5</v>
      </c>
      <c r="F27" s="2" t="s">
        <v>52</v>
      </c>
      <c r="G27" s="3">
        <f>2/2</f>
        <v>1</v>
      </c>
      <c r="H27" s="2" t="s">
        <v>246</v>
      </c>
      <c r="I27" s="3">
        <f>1/4</f>
        <v>0.25</v>
      </c>
      <c r="J27" s="2" t="s">
        <v>15</v>
      </c>
      <c r="K27" s="3">
        <f>1/1</f>
        <v>1</v>
      </c>
      <c r="L27" s="2" t="s">
        <v>213</v>
      </c>
      <c r="M27" s="3">
        <f>2/11</f>
        <v>0.18181818181818182</v>
      </c>
      <c r="N27" s="2" t="s">
        <v>88</v>
      </c>
      <c r="O27" s="3">
        <f>1/2</f>
        <v>0.5</v>
      </c>
      <c r="P27" s="2" t="s">
        <v>140</v>
      </c>
      <c r="Q27" s="3">
        <f>0/2</f>
        <v>0</v>
      </c>
      <c r="R27" s="2" t="s">
        <v>52</v>
      </c>
      <c r="S27" s="3">
        <f>2/2</f>
        <v>1</v>
      </c>
      <c r="T27" s="2" t="s">
        <v>15</v>
      </c>
      <c r="U27" s="3">
        <f>1/2</f>
        <v>0.5</v>
      </c>
      <c r="V27" s="2" t="s">
        <v>13</v>
      </c>
      <c r="W27" s="3" t="s">
        <v>13</v>
      </c>
      <c r="X27" s="2" t="s">
        <v>213</v>
      </c>
      <c r="Y27" s="3">
        <f>2/11</f>
        <v>0.18181818181818182</v>
      </c>
    </row>
    <row r="28" spans="1:25" ht="15.75" x14ac:dyDescent="0.25">
      <c r="A28" s="6" t="s">
        <v>108</v>
      </c>
      <c r="B28" s="8" t="s">
        <v>9</v>
      </c>
      <c r="C28" s="5"/>
      <c r="D28" s="4"/>
      <c r="E28" s="5"/>
      <c r="F28" s="4"/>
      <c r="G28" s="5"/>
      <c r="H28" s="4"/>
      <c r="I28" s="5"/>
      <c r="J28" s="4"/>
      <c r="K28" s="5"/>
      <c r="L28" s="4"/>
      <c r="M28" s="4"/>
      <c r="N28" s="4"/>
      <c r="O28" s="4"/>
      <c r="P28" s="4"/>
      <c r="Q28" s="5"/>
      <c r="R28" s="4"/>
      <c r="S28" s="5"/>
      <c r="T28" s="4"/>
      <c r="U28" s="4"/>
      <c r="V28" s="4"/>
      <c r="W28" s="5"/>
      <c r="X28" s="4"/>
      <c r="Y28" s="5"/>
    </row>
    <row r="29" spans="1:25" x14ac:dyDescent="0.25"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</row>
    <row r="30" spans="1:25" ht="15.75" x14ac:dyDescent="0.25">
      <c r="A30" s="6" t="s">
        <v>30</v>
      </c>
      <c r="B30" s="2" t="s">
        <v>255</v>
      </c>
      <c r="C30" s="3">
        <f>39/46</f>
        <v>0.84782608695652173</v>
      </c>
      <c r="D30" s="2" t="s">
        <v>98</v>
      </c>
      <c r="E30" s="3">
        <f>22/46</f>
        <v>0.47826086956521741</v>
      </c>
      <c r="F30" s="2" t="s">
        <v>273</v>
      </c>
      <c r="G30" s="3">
        <f>42/46</f>
        <v>0.91304347826086951</v>
      </c>
      <c r="H30" s="2" t="s">
        <v>96</v>
      </c>
      <c r="I30" s="3">
        <f>39/43</f>
        <v>0.90697674418604646</v>
      </c>
      <c r="J30" s="2" t="s">
        <v>152</v>
      </c>
      <c r="K30" s="3">
        <f>22/23</f>
        <v>0.95652173913043481</v>
      </c>
      <c r="L30" s="2" t="s">
        <v>272</v>
      </c>
      <c r="M30" s="3">
        <f>42/61</f>
        <v>0.68852459016393441</v>
      </c>
      <c r="N30" s="2" t="s">
        <v>257</v>
      </c>
      <c r="O30" s="3">
        <f>39/54</f>
        <v>0.72222222222222221</v>
      </c>
      <c r="P30" s="2" t="s">
        <v>258</v>
      </c>
      <c r="Q30" s="3">
        <f>22/54</f>
        <v>0.40740740740740738</v>
      </c>
      <c r="R30" s="2" t="s">
        <v>270</v>
      </c>
      <c r="S30" s="3">
        <f>48/54</f>
        <v>0.88888888888888884</v>
      </c>
      <c r="T30" s="2" t="s">
        <v>255</v>
      </c>
      <c r="U30" s="3">
        <f>39/46</f>
        <v>0.84782608695652173</v>
      </c>
      <c r="V30" s="2" t="s">
        <v>152</v>
      </c>
      <c r="W30" s="3">
        <f>22/23</f>
        <v>0.95652173913043481</v>
      </c>
      <c r="X30" s="2" t="s">
        <v>269</v>
      </c>
      <c r="Y30" s="3">
        <f>48/69</f>
        <v>0.69565217391304346</v>
      </c>
    </row>
  </sheetData>
  <mergeCells count="24">
    <mergeCell ref="X20:Y20"/>
    <mergeCell ref="B20:C20"/>
    <mergeCell ref="D20:E20"/>
    <mergeCell ref="F20:G20"/>
    <mergeCell ref="H20:I20"/>
    <mergeCell ref="J20:K20"/>
    <mergeCell ref="L20:M20"/>
    <mergeCell ref="N20:O20"/>
    <mergeCell ref="P20:Q20"/>
    <mergeCell ref="R20:S20"/>
    <mergeCell ref="T20:U20"/>
    <mergeCell ref="V20:W20"/>
    <mergeCell ref="X3:Y3"/>
    <mergeCell ref="B3:C3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V3:W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Summary</vt:lpstr>
      <vt:lpstr>021</vt:lpstr>
      <vt:lpstr>022</vt:lpstr>
      <vt:lpstr>023</vt:lpstr>
      <vt:lpstr>024</vt:lpstr>
      <vt:lpstr>025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2017-05-05T06:57:54Z</dcterms:modified>
</cp:coreProperties>
</file>