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8" r:id="rId1"/>
    <sheet name="002" sheetId="2" r:id="rId2"/>
    <sheet name="003" sheetId="4" r:id="rId3"/>
    <sheet name="004" sheetId="5" r:id="rId4"/>
    <sheet name="005" sheetId="6" r:id="rId5"/>
    <sheet name="006" sheetId="7" r:id="rId6"/>
  </sheets>
  <calcPr calcId="152511"/>
</workbook>
</file>

<file path=xl/calcChain.xml><?xml version="1.0" encoding="utf-8"?>
<calcChain xmlns="http://schemas.openxmlformats.org/spreadsheetml/2006/main">
  <c r="Y30" i="8" l="1"/>
  <c r="W30" i="8"/>
  <c r="U30" i="8"/>
  <c r="S30" i="8"/>
  <c r="Q30" i="8"/>
  <c r="O30" i="8"/>
  <c r="M30" i="8"/>
  <c r="K30" i="8"/>
  <c r="I30" i="8"/>
  <c r="G30" i="8"/>
  <c r="E30" i="8"/>
  <c r="C30" i="8"/>
  <c r="Y29" i="8"/>
  <c r="W29" i="8"/>
  <c r="U29" i="8"/>
  <c r="S29" i="8"/>
  <c r="Q29" i="8"/>
  <c r="O29" i="8"/>
  <c r="M29" i="8"/>
  <c r="K29" i="8"/>
  <c r="I29" i="8"/>
  <c r="G29" i="8"/>
  <c r="E29" i="8"/>
  <c r="C29" i="8"/>
  <c r="M27" i="8"/>
  <c r="I27" i="8"/>
  <c r="G27" i="8"/>
  <c r="E27" i="8"/>
  <c r="C27" i="8"/>
  <c r="Y26" i="8"/>
  <c r="W26" i="8"/>
  <c r="U26" i="8"/>
  <c r="S26" i="8"/>
  <c r="Q26" i="8"/>
  <c r="O26" i="8"/>
  <c r="M26" i="8"/>
  <c r="K26" i="8"/>
  <c r="I26" i="8"/>
  <c r="G26" i="8"/>
  <c r="E26" i="8"/>
  <c r="C26" i="8"/>
  <c r="Y25" i="8"/>
  <c r="U25" i="8"/>
  <c r="S25" i="8"/>
  <c r="Q25" i="8"/>
  <c r="O25" i="8"/>
  <c r="M25" i="8"/>
  <c r="I25" i="8"/>
  <c r="G25" i="8"/>
  <c r="E25" i="8"/>
  <c r="C25" i="8"/>
  <c r="Y24" i="8"/>
  <c r="W24" i="8"/>
  <c r="U24" i="8"/>
  <c r="S24" i="8"/>
  <c r="Q24" i="8"/>
  <c r="O24" i="8"/>
  <c r="M24" i="8"/>
  <c r="K24" i="8"/>
  <c r="I24" i="8"/>
  <c r="G24" i="8"/>
  <c r="E24" i="8"/>
  <c r="C24" i="8"/>
  <c r="Y23" i="8"/>
  <c r="S23" i="8"/>
  <c r="Q23" i="8"/>
  <c r="O23" i="8"/>
  <c r="M23" i="8"/>
  <c r="G23" i="8"/>
  <c r="E23" i="8"/>
  <c r="C23" i="8"/>
  <c r="M22" i="8"/>
  <c r="I22" i="8"/>
  <c r="G22" i="8"/>
  <c r="E22" i="8"/>
  <c r="C22" i="8"/>
  <c r="M21" i="8"/>
  <c r="I21" i="8"/>
  <c r="G21" i="8"/>
  <c r="E21" i="8"/>
  <c r="C21" i="8"/>
  <c r="Y14" i="8"/>
  <c r="W14" i="8"/>
  <c r="U14" i="8"/>
  <c r="S14" i="8"/>
  <c r="Q14" i="8"/>
  <c r="O14" i="8"/>
  <c r="M14" i="8"/>
  <c r="K14" i="8"/>
  <c r="I14" i="8"/>
  <c r="G14" i="8"/>
  <c r="E14" i="8"/>
  <c r="C14" i="8"/>
  <c r="Y13" i="8"/>
  <c r="W13" i="8"/>
  <c r="U13" i="8"/>
  <c r="S13" i="8"/>
  <c r="Q13" i="8"/>
  <c r="O13" i="8"/>
  <c r="M13" i="8"/>
  <c r="K13" i="8"/>
  <c r="I13" i="8"/>
  <c r="G13" i="8"/>
  <c r="E13" i="8"/>
  <c r="C13" i="8"/>
  <c r="M11" i="8"/>
  <c r="I11" i="8"/>
  <c r="G11" i="8"/>
  <c r="E11" i="8"/>
  <c r="C11" i="8"/>
  <c r="Y10" i="8"/>
  <c r="W10" i="8"/>
  <c r="U10" i="8"/>
  <c r="S10" i="8"/>
  <c r="Q10" i="8"/>
  <c r="O10" i="8"/>
  <c r="M10" i="8"/>
  <c r="K10" i="8"/>
  <c r="I10" i="8"/>
  <c r="G10" i="8"/>
  <c r="E10" i="8"/>
  <c r="C10" i="8"/>
  <c r="Y9" i="8"/>
  <c r="U9" i="8"/>
  <c r="S9" i="8"/>
  <c r="Q9" i="8"/>
  <c r="O9" i="8"/>
  <c r="M9" i="8"/>
  <c r="I9" i="8"/>
  <c r="G9" i="8"/>
  <c r="E9" i="8"/>
  <c r="C9" i="8"/>
  <c r="Y8" i="8"/>
  <c r="W8" i="8"/>
  <c r="U8" i="8"/>
  <c r="S8" i="8"/>
  <c r="Q8" i="8"/>
  <c r="O8" i="8"/>
  <c r="M8" i="8"/>
  <c r="K8" i="8"/>
  <c r="I8" i="8"/>
  <c r="G8" i="8"/>
  <c r="E8" i="8"/>
  <c r="C8" i="8"/>
  <c r="Y7" i="8"/>
  <c r="S7" i="8"/>
  <c r="Q7" i="8"/>
  <c r="O7" i="8"/>
  <c r="M7" i="8"/>
  <c r="G7" i="8"/>
  <c r="E7" i="8"/>
  <c r="C7" i="8"/>
  <c r="M6" i="8"/>
  <c r="I6" i="8"/>
  <c r="G6" i="8"/>
  <c r="E6" i="8"/>
  <c r="C6" i="8"/>
  <c r="M5" i="8"/>
  <c r="I5" i="8"/>
  <c r="G5" i="8"/>
  <c r="E5" i="8"/>
  <c r="C5" i="8"/>
  <c r="Y29" i="5" l="1"/>
  <c r="Y30" i="5"/>
  <c r="U29" i="7" l="1"/>
  <c r="Y13" i="7" l="1"/>
  <c r="Y14" i="4" l="1"/>
  <c r="Y13" i="4"/>
  <c r="U13" i="7" l="1"/>
  <c r="S13" i="4" l="1"/>
  <c r="S14" i="4"/>
  <c r="Q14" i="4" l="1"/>
  <c r="Q13" i="4"/>
  <c r="O13" i="4"/>
  <c r="I30" i="4" l="1"/>
  <c r="M13" i="7" l="1"/>
  <c r="I29" i="4" l="1"/>
  <c r="I25" i="4"/>
  <c r="W30" i="7" l="1"/>
  <c r="W29" i="7"/>
  <c r="W26" i="7"/>
  <c r="W24" i="7"/>
  <c r="W14" i="7"/>
  <c r="W13" i="7"/>
  <c r="W10" i="7"/>
  <c r="W8" i="7"/>
  <c r="Q30" i="7"/>
  <c r="Q29" i="7"/>
  <c r="Q26" i="7"/>
  <c r="Q25" i="7"/>
  <c r="Q24" i="7"/>
  <c r="Q23" i="7"/>
  <c r="Q14" i="7"/>
  <c r="Q13" i="7"/>
  <c r="Q10" i="7"/>
  <c r="Q9" i="7"/>
  <c r="Q8" i="7"/>
  <c r="Q7" i="7"/>
  <c r="K30" i="7"/>
  <c r="K29" i="7"/>
  <c r="K26" i="7"/>
  <c r="K24" i="7"/>
  <c r="K14" i="7"/>
  <c r="K13" i="7"/>
  <c r="K10" i="7"/>
  <c r="K8" i="7"/>
  <c r="E30" i="7"/>
  <c r="E29" i="7"/>
  <c r="E27" i="7"/>
  <c r="E26" i="7"/>
  <c r="E25" i="7"/>
  <c r="E24" i="7"/>
  <c r="E23" i="7"/>
  <c r="E21" i="7"/>
  <c r="E14" i="7"/>
  <c r="E13" i="7"/>
  <c r="E11" i="7"/>
  <c r="E10" i="7"/>
  <c r="E9" i="7"/>
  <c r="E8" i="7"/>
  <c r="E7" i="7"/>
  <c r="E5" i="7"/>
  <c r="Y30" i="7" l="1"/>
  <c r="U30" i="7"/>
  <c r="S30" i="7"/>
  <c r="O30" i="7"/>
  <c r="M30" i="7"/>
  <c r="I30" i="7"/>
  <c r="G30" i="7"/>
  <c r="C30" i="7"/>
  <c r="Y29" i="7"/>
  <c r="S29" i="7"/>
  <c r="O29" i="7"/>
  <c r="M29" i="7"/>
  <c r="I29" i="7"/>
  <c r="G29" i="7"/>
  <c r="C29" i="7"/>
  <c r="M27" i="7"/>
  <c r="I27" i="7"/>
  <c r="G27" i="7"/>
  <c r="C27" i="7"/>
  <c r="Y26" i="7"/>
  <c r="U26" i="7"/>
  <c r="S26" i="7"/>
  <c r="O26" i="7"/>
  <c r="M26" i="7"/>
  <c r="I26" i="7"/>
  <c r="G26" i="7"/>
  <c r="C26" i="7"/>
  <c r="Y25" i="7"/>
  <c r="U25" i="7"/>
  <c r="S25" i="7"/>
  <c r="O25" i="7"/>
  <c r="M25" i="7"/>
  <c r="I25" i="7"/>
  <c r="G25" i="7"/>
  <c r="C25" i="7"/>
  <c r="Y24" i="7"/>
  <c r="U24" i="7"/>
  <c r="S24" i="7"/>
  <c r="O24" i="7"/>
  <c r="M24" i="7"/>
  <c r="I24" i="7"/>
  <c r="G24" i="7"/>
  <c r="C24" i="7"/>
  <c r="Y23" i="7"/>
  <c r="S23" i="7"/>
  <c r="O23" i="7"/>
  <c r="M23" i="7"/>
  <c r="G23" i="7"/>
  <c r="C23" i="7"/>
  <c r="M22" i="7"/>
  <c r="I22" i="7"/>
  <c r="I21" i="7"/>
  <c r="G21" i="7"/>
  <c r="C21" i="7"/>
  <c r="Y14" i="7"/>
  <c r="U14" i="7"/>
  <c r="S14" i="7"/>
  <c r="O14" i="7"/>
  <c r="M14" i="7"/>
  <c r="I14" i="7"/>
  <c r="G14" i="7"/>
  <c r="C14" i="7"/>
  <c r="S13" i="7"/>
  <c r="O13" i="7"/>
  <c r="I13" i="7"/>
  <c r="G13" i="7"/>
  <c r="C13" i="7"/>
  <c r="M11" i="7"/>
  <c r="I11" i="7"/>
  <c r="G11" i="7"/>
  <c r="C11" i="7"/>
  <c r="Y10" i="7"/>
  <c r="U10" i="7"/>
  <c r="S10" i="7"/>
  <c r="O10" i="7"/>
  <c r="M10" i="7"/>
  <c r="I10" i="7"/>
  <c r="G10" i="7"/>
  <c r="C10" i="7"/>
  <c r="Y9" i="7"/>
  <c r="U9" i="7"/>
  <c r="S9" i="7"/>
  <c r="O9" i="7"/>
  <c r="M9" i="7"/>
  <c r="I9" i="7"/>
  <c r="G9" i="7"/>
  <c r="C9" i="7"/>
  <c r="Y8" i="7"/>
  <c r="U8" i="7"/>
  <c r="S8" i="7"/>
  <c r="O8" i="7"/>
  <c r="M8" i="7"/>
  <c r="I8" i="7"/>
  <c r="G8" i="7"/>
  <c r="C8" i="7"/>
  <c r="Y7" i="7"/>
  <c r="S7" i="7"/>
  <c r="O7" i="7"/>
  <c r="M7" i="7"/>
  <c r="G7" i="7"/>
  <c r="C7" i="7"/>
  <c r="M6" i="7"/>
  <c r="I6" i="7"/>
  <c r="I5" i="7"/>
  <c r="G5" i="7"/>
  <c r="C5" i="7"/>
  <c r="W30" i="6" l="1"/>
  <c r="W29" i="6"/>
  <c r="W26" i="6"/>
  <c r="W24" i="6"/>
  <c r="W14" i="6"/>
  <c r="W13" i="6"/>
  <c r="W10" i="6"/>
  <c r="W8" i="6"/>
  <c r="Q30" i="6"/>
  <c r="Q29" i="6"/>
  <c r="Q26" i="6"/>
  <c r="Q25" i="6"/>
  <c r="Q24" i="6"/>
  <c r="Q23" i="6"/>
  <c r="Q14" i="6"/>
  <c r="Q13" i="6"/>
  <c r="Q10" i="6"/>
  <c r="Q9" i="6"/>
  <c r="Q8" i="6"/>
  <c r="Q7" i="6"/>
  <c r="K30" i="6"/>
  <c r="K29" i="6"/>
  <c r="K26" i="6"/>
  <c r="K24" i="6"/>
  <c r="K14" i="6"/>
  <c r="K13" i="6"/>
  <c r="K10" i="6"/>
  <c r="K8" i="6"/>
  <c r="E30" i="6"/>
  <c r="E29" i="6"/>
  <c r="E27" i="6"/>
  <c r="E26" i="6"/>
  <c r="E25" i="6"/>
  <c r="E24" i="6"/>
  <c r="E23" i="6"/>
  <c r="E21" i="6"/>
  <c r="E14" i="6"/>
  <c r="E13" i="6"/>
  <c r="E11" i="6"/>
  <c r="E10" i="6"/>
  <c r="E9" i="6"/>
  <c r="E8" i="6"/>
  <c r="E7" i="6"/>
  <c r="E5" i="6"/>
  <c r="Y30" i="6" l="1"/>
  <c r="U30" i="6"/>
  <c r="S30" i="6"/>
  <c r="O30" i="6"/>
  <c r="M30" i="6"/>
  <c r="I30" i="6"/>
  <c r="G30" i="6"/>
  <c r="C30" i="6"/>
  <c r="Y29" i="6"/>
  <c r="U29" i="6"/>
  <c r="S29" i="6"/>
  <c r="O29" i="6"/>
  <c r="M29" i="6"/>
  <c r="I29" i="6"/>
  <c r="G29" i="6"/>
  <c r="C29" i="6"/>
  <c r="M27" i="6"/>
  <c r="I27" i="6"/>
  <c r="G27" i="6"/>
  <c r="C27" i="6"/>
  <c r="Y26" i="6"/>
  <c r="U26" i="6"/>
  <c r="S26" i="6"/>
  <c r="O26" i="6"/>
  <c r="M26" i="6"/>
  <c r="I26" i="6"/>
  <c r="G26" i="6"/>
  <c r="C26" i="6"/>
  <c r="Y25" i="6"/>
  <c r="U25" i="6"/>
  <c r="S25" i="6"/>
  <c r="O25" i="6"/>
  <c r="M25" i="6"/>
  <c r="I25" i="6"/>
  <c r="G25" i="6"/>
  <c r="C25" i="6"/>
  <c r="Y24" i="6"/>
  <c r="U24" i="6"/>
  <c r="S24" i="6"/>
  <c r="O24" i="6"/>
  <c r="M24" i="6"/>
  <c r="I24" i="6"/>
  <c r="G24" i="6"/>
  <c r="C24" i="6"/>
  <c r="Y23" i="6"/>
  <c r="S23" i="6"/>
  <c r="O23" i="6"/>
  <c r="M23" i="6"/>
  <c r="G23" i="6"/>
  <c r="C23" i="6"/>
  <c r="I22" i="6"/>
  <c r="I21" i="6"/>
  <c r="G21" i="6"/>
  <c r="C21" i="6"/>
  <c r="Y14" i="6"/>
  <c r="U14" i="6"/>
  <c r="S14" i="6"/>
  <c r="O14" i="6"/>
  <c r="M14" i="6"/>
  <c r="I14" i="6"/>
  <c r="G14" i="6"/>
  <c r="C14" i="6"/>
  <c r="Y13" i="6"/>
  <c r="U13" i="6"/>
  <c r="S13" i="6"/>
  <c r="O13" i="6"/>
  <c r="M13" i="6"/>
  <c r="I13" i="6"/>
  <c r="G13" i="6"/>
  <c r="C13" i="6"/>
  <c r="M11" i="6"/>
  <c r="I11" i="6"/>
  <c r="G11" i="6"/>
  <c r="C11" i="6"/>
  <c r="Y10" i="6"/>
  <c r="U10" i="6"/>
  <c r="S10" i="6"/>
  <c r="O10" i="6"/>
  <c r="M10" i="6"/>
  <c r="I10" i="6"/>
  <c r="G10" i="6"/>
  <c r="C10" i="6"/>
  <c r="Y9" i="6"/>
  <c r="U9" i="6"/>
  <c r="S9" i="6"/>
  <c r="O9" i="6"/>
  <c r="M9" i="6"/>
  <c r="I9" i="6"/>
  <c r="G9" i="6"/>
  <c r="C9" i="6"/>
  <c r="Y8" i="6"/>
  <c r="U8" i="6"/>
  <c r="S8" i="6"/>
  <c r="O8" i="6"/>
  <c r="M8" i="6"/>
  <c r="I8" i="6"/>
  <c r="G8" i="6"/>
  <c r="C8" i="6"/>
  <c r="Y7" i="6"/>
  <c r="S7" i="6"/>
  <c r="O7" i="6"/>
  <c r="M7" i="6"/>
  <c r="G7" i="6"/>
  <c r="C7" i="6"/>
  <c r="I6" i="6"/>
  <c r="I5" i="6"/>
  <c r="G5" i="6"/>
  <c r="C5" i="6"/>
  <c r="W30" i="5" l="1"/>
  <c r="W29" i="5"/>
  <c r="W26" i="5"/>
  <c r="W24" i="5"/>
  <c r="W14" i="5"/>
  <c r="W13" i="5"/>
  <c r="W10" i="5"/>
  <c r="W8" i="5"/>
  <c r="Q30" i="5"/>
  <c r="Q29" i="5"/>
  <c r="Q26" i="5"/>
  <c r="Q25" i="5"/>
  <c r="Q24" i="5"/>
  <c r="Q14" i="5"/>
  <c r="Q13" i="5"/>
  <c r="Q10" i="5"/>
  <c r="Q9" i="5"/>
  <c r="Q8" i="5"/>
  <c r="K30" i="5"/>
  <c r="K29" i="5"/>
  <c r="K26" i="5"/>
  <c r="K24" i="5"/>
  <c r="K14" i="5"/>
  <c r="K13" i="5"/>
  <c r="K10" i="5"/>
  <c r="K8" i="5"/>
  <c r="E30" i="5"/>
  <c r="E29" i="5"/>
  <c r="E27" i="5"/>
  <c r="E26" i="5"/>
  <c r="E25" i="5"/>
  <c r="E24" i="5"/>
  <c r="E21" i="5"/>
  <c r="E14" i="5"/>
  <c r="E13" i="5"/>
  <c r="E11" i="5"/>
  <c r="E10" i="5"/>
  <c r="E9" i="5"/>
  <c r="E8" i="5"/>
  <c r="E5" i="5"/>
  <c r="U30" i="5" l="1"/>
  <c r="S30" i="5"/>
  <c r="O30" i="5"/>
  <c r="M30" i="5"/>
  <c r="I30" i="5"/>
  <c r="G30" i="5"/>
  <c r="C30" i="5"/>
  <c r="U29" i="5"/>
  <c r="S29" i="5"/>
  <c r="O29" i="5"/>
  <c r="M29" i="5"/>
  <c r="I29" i="5"/>
  <c r="G29" i="5"/>
  <c r="C29" i="5"/>
  <c r="M27" i="5"/>
  <c r="I27" i="5"/>
  <c r="G27" i="5"/>
  <c r="C27" i="5"/>
  <c r="Y26" i="5"/>
  <c r="U26" i="5"/>
  <c r="S26" i="5"/>
  <c r="O26" i="5"/>
  <c r="M26" i="5"/>
  <c r="I26" i="5"/>
  <c r="G26" i="5"/>
  <c r="C26" i="5"/>
  <c r="Y25" i="5"/>
  <c r="U25" i="5"/>
  <c r="S25" i="5"/>
  <c r="O25" i="5"/>
  <c r="M25" i="5"/>
  <c r="I25" i="5"/>
  <c r="G25" i="5"/>
  <c r="C25" i="5"/>
  <c r="Y24" i="5"/>
  <c r="U24" i="5"/>
  <c r="S24" i="5"/>
  <c r="O24" i="5"/>
  <c r="M24" i="5"/>
  <c r="I24" i="5"/>
  <c r="G24" i="5"/>
  <c r="C24" i="5"/>
  <c r="Y23" i="5"/>
  <c r="M23" i="5"/>
  <c r="I22" i="5"/>
  <c r="M21" i="5"/>
  <c r="I21" i="5"/>
  <c r="G21" i="5"/>
  <c r="C21" i="5"/>
  <c r="Y14" i="5"/>
  <c r="U14" i="5"/>
  <c r="S14" i="5"/>
  <c r="O14" i="5"/>
  <c r="M14" i="5"/>
  <c r="I14" i="5"/>
  <c r="G14" i="5"/>
  <c r="C14" i="5"/>
  <c r="Y13" i="5"/>
  <c r="U13" i="5"/>
  <c r="S13" i="5"/>
  <c r="O13" i="5"/>
  <c r="M13" i="5"/>
  <c r="I13" i="5"/>
  <c r="G13" i="5"/>
  <c r="C13" i="5"/>
  <c r="M11" i="5"/>
  <c r="I11" i="5"/>
  <c r="G11" i="5"/>
  <c r="C11" i="5"/>
  <c r="Y10" i="5"/>
  <c r="U10" i="5"/>
  <c r="S10" i="5"/>
  <c r="O10" i="5"/>
  <c r="M10" i="5"/>
  <c r="I10" i="5"/>
  <c r="G10" i="5"/>
  <c r="C10" i="5"/>
  <c r="Y9" i="5"/>
  <c r="U9" i="5"/>
  <c r="S9" i="5"/>
  <c r="O9" i="5"/>
  <c r="M9" i="5"/>
  <c r="I9" i="5"/>
  <c r="G9" i="5"/>
  <c r="C9" i="5"/>
  <c r="Y8" i="5"/>
  <c r="U8" i="5"/>
  <c r="S8" i="5"/>
  <c r="O8" i="5"/>
  <c r="M8" i="5"/>
  <c r="I8" i="5"/>
  <c r="G8" i="5"/>
  <c r="C8" i="5"/>
  <c r="Y7" i="5"/>
  <c r="M7" i="5"/>
  <c r="I6" i="5"/>
  <c r="M5" i="5"/>
  <c r="I5" i="5"/>
  <c r="G5" i="5"/>
  <c r="C5" i="5"/>
  <c r="W30" i="4" l="1"/>
  <c r="W29" i="4"/>
  <c r="W26" i="4"/>
  <c r="W24" i="4"/>
  <c r="W14" i="4"/>
  <c r="W13" i="4"/>
  <c r="W10" i="4"/>
  <c r="W8" i="4"/>
  <c r="Q30" i="4"/>
  <c r="Q29" i="4"/>
  <c r="Q26" i="4"/>
  <c r="Q25" i="4"/>
  <c r="Q24" i="4"/>
  <c r="Q23" i="4"/>
  <c r="Q10" i="4"/>
  <c r="Q9" i="4"/>
  <c r="Q8" i="4"/>
  <c r="Q7" i="4"/>
  <c r="K30" i="4"/>
  <c r="K29" i="4"/>
  <c r="K26" i="4"/>
  <c r="K24" i="4"/>
  <c r="K14" i="4"/>
  <c r="K13" i="4"/>
  <c r="K10" i="4"/>
  <c r="K8" i="4"/>
  <c r="E30" i="4"/>
  <c r="E29" i="4"/>
  <c r="E27" i="4"/>
  <c r="E26" i="4"/>
  <c r="E25" i="4"/>
  <c r="E24" i="4"/>
  <c r="E23" i="4"/>
  <c r="E21" i="4"/>
  <c r="E14" i="4"/>
  <c r="E13" i="4"/>
  <c r="E11" i="4"/>
  <c r="E10" i="4"/>
  <c r="E9" i="4"/>
  <c r="E8" i="4"/>
  <c r="E7" i="4"/>
  <c r="E5" i="4"/>
  <c r="Y30" i="4" l="1"/>
  <c r="U30" i="4"/>
  <c r="S30" i="4"/>
  <c r="O30" i="4"/>
  <c r="M30" i="4"/>
  <c r="G30" i="4"/>
  <c r="C30" i="4"/>
  <c r="Y29" i="4"/>
  <c r="U29" i="4"/>
  <c r="S29" i="4"/>
  <c r="O29" i="4"/>
  <c r="M29" i="4"/>
  <c r="G29" i="4"/>
  <c r="C29" i="4"/>
  <c r="M27" i="4"/>
  <c r="I27" i="4"/>
  <c r="G27" i="4"/>
  <c r="C27" i="4"/>
  <c r="Y26" i="4"/>
  <c r="U26" i="4"/>
  <c r="S26" i="4"/>
  <c r="O26" i="4"/>
  <c r="M26" i="4"/>
  <c r="I26" i="4"/>
  <c r="G26" i="4"/>
  <c r="C26" i="4"/>
  <c r="Y25" i="4"/>
  <c r="U25" i="4"/>
  <c r="S25" i="4"/>
  <c r="O25" i="4"/>
  <c r="M25" i="4"/>
  <c r="G25" i="4"/>
  <c r="C25" i="4"/>
  <c r="Y24" i="4"/>
  <c r="U24" i="4"/>
  <c r="S24" i="4"/>
  <c r="O24" i="4"/>
  <c r="M24" i="4"/>
  <c r="I24" i="4"/>
  <c r="G24" i="4"/>
  <c r="C24" i="4"/>
  <c r="Y23" i="4"/>
  <c r="S23" i="4"/>
  <c r="O23" i="4"/>
  <c r="M23" i="4"/>
  <c r="G23" i="4"/>
  <c r="C23" i="4"/>
  <c r="M21" i="4"/>
  <c r="I21" i="4"/>
  <c r="G21" i="4"/>
  <c r="C21" i="4"/>
  <c r="U14" i="4"/>
  <c r="O14" i="4"/>
  <c r="M14" i="4"/>
  <c r="I14" i="4"/>
  <c r="G14" i="4"/>
  <c r="C14" i="4"/>
  <c r="U13" i="4"/>
  <c r="M13" i="4"/>
  <c r="I13" i="4"/>
  <c r="G13" i="4"/>
  <c r="C13" i="4"/>
  <c r="M11" i="4"/>
  <c r="I11" i="4"/>
  <c r="G11" i="4"/>
  <c r="C11" i="4"/>
  <c r="Y10" i="4"/>
  <c r="U10" i="4"/>
  <c r="S10" i="4"/>
  <c r="O10" i="4"/>
  <c r="M10" i="4"/>
  <c r="I10" i="4"/>
  <c r="G10" i="4"/>
  <c r="C10" i="4"/>
  <c r="Y9" i="4"/>
  <c r="U9" i="4"/>
  <c r="S9" i="4"/>
  <c r="O9" i="4"/>
  <c r="M9" i="4"/>
  <c r="I9" i="4"/>
  <c r="G9" i="4"/>
  <c r="C9" i="4"/>
  <c r="Y8" i="4"/>
  <c r="U8" i="4"/>
  <c r="S8" i="4"/>
  <c r="O8" i="4"/>
  <c r="M8" i="4"/>
  <c r="I8" i="4"/>
  <c r="G8" i="4"/>
  <c r="C8" i="4"/>
  <c r="Y7" i="4"/>
  <c r="S7" i="4"/>
  <c r="O7" i="4"/>
  <c r="M7" i="4"/>
  <c r="G7" i="4"/>
  <c r="C7" i="4"/>
  <c r="M5" i="4"/>
  <c r="I5" i="4"/>
  <c r="G5" i="4"/>
  <c r="C5" i="4"/>
  <c r="W30" i="2" l="1"/>
  <c r="W29" i="2"/>
  <c r="W26" i="2"/>
  <c r="W24" i="2"/>
  <c r="W14" i="2"/>
  <c r="W13" i="2"/>
  <c r="W10" i="2"/>
  <c r="W8" i="2"/>
  <c r="Q30" i="2"/>
  <c r="Q29" i="2"/>
  <c r="Q26" i="2"/>
  <c r="Q25" i="2"/>
  <c r="Q24" i="2"/>
  <c r="Q14" i="2"/>
  <c r="Q13" i="2"/>
  <c r="Q10" i="2"/>
  <c r="Q9" i="2"/>
  <c r="Q8" i="2"/>
  <c r="K30" i="2"/>
  <c r="K29" i="2"/>
  <c r="K26" i="2"/>
  <c r="K24" i="2"/>
  <c r="K14" i="2"/>
  <c r="K13" i="2"/>
  <c r="K10" i="2"/>
  <c r="K8" i="2"/>
  <c r="E30" i="2"/>
  <c r="E29" i="2"/>
  <c r="E27" i="2"/>
  <c r="E26" i="2"/>
  <c r="E25" i="2"/>
  <c r="E24" i="2"/>
  <c r="E14" i="2"/>
  <c r="E13" i="2"/>
  <c r="E11" i="2"/>
  <c r="E10" i="2"/>
  <c r="E9" i="2"/>
  <c r="E8" i="2"/>
  <c r="Y30" i="2" l="1"/>
  <c r="U30" i="2"/>
  <c r="S30" i="2"/>
  <c r="O30" i="2"/>
  <c r="M30" i="2"/>
  <c r="I30" i="2"/>
  <c r="G30" i="2"/>
  <c r="C30" i="2"/>
  <c r="Y29" i="2"/>
  <c r="U29" i="2"/>
  <c r="S29" i="2"/>
  <c r="O29" i="2"/>
  <c r="M29" i="2"/>
  <c r="I29" i="2"/>
  <c r="G29" i="2"/>
  <c r="C29" i="2"/>
  <c r="M27" i="2"/>
  <c r="I27" i="2"/>
  <c r="G27" i="2"/>
  <c r="C27" i="2"/>
  <c r="Y26" i="2"/>
  <c r="U26" i="2"/>
  <c r="S26" i="2"/>
  <c r="O26" i="2"/>
  <c r="M26" i="2"/>
  <c r="I26" i="2"/>
  <c r="G26" i="2"/>
  <c r="C26" i="2"/>
  <c r="Y25" i="2"/>
  <c r="U25" i="2"/>
  <c r="S25" i="2"/>
  <c r="O25" i="2"/>
  <c r="M25" i="2"/>
  <c r="I25" i="2"/>
  <c r="G25" i="2"/>
  <c r="C25" i="2"/>
  <c r="Y24" i="2"/>
  <c r="U24" i="2"/>
  <c r="S24" i="2"/>
  <c r="O24" i="2"/>
  <c r="M24" i="2"/>
  <c r="I24" i="2"/>
  <c r="G24" i="2"/>
  <c r="C24" i="2"/>
  <c r="Y14" i="2"/>
  <c r="U14" i="2"/>
  <c r="S14" i="2"/>
  <c r="O14" i="2"/>
  <c r="M14" i="2"/>
  <c r="I14" i="2"/>
  <c r="G14" i="2"/>
  <c r="C14" i="2"/>
  <c r="Y13" i="2"/>
  <c r="U13" i="2"/>
  <c r="S13" i="2"/>
  <c r="O13" i="2"/>
  <c r="M13" i="2"/>
  <c r="I13" i="2"/>
  <c r="G13" i="2"/>
  <c r="C13" i="2"/>
  <c r="M11" i="2"/>
  <c r="I11" i="2"/>
  <c r="G11" i="2"/>
  <c r="C11" i="2"/>
  <c r="Y10" i="2"/>
  <c r="U10" i="2"/>
  <c r="S10" i="2"/>
  <c r="O10" i="2"/>
  <c r="M10" i="2"/>
  <c r="I10" i="2"/>
  <c r="G10" i="2"/>
  <c r="C10" i="2"/>
  <c r="Y9" i="2"/>
  <c r="U9" i="2"/>
  <c r="S9" i="2"/>
  <c r="O9" i="2"/>
  <c r="M9" i="2"/>
  <c r="I9" i="2"/>
  <c r="G9" i="2"/>
  <c r="C9" i="2"/>
  <c r="Y8" i="2"/>
  <c r="U8" i="2"/>
  <c r="S8" i="2"/>
  <c r="O8" i="2"/>
  <c r="M8" i="2"/>
  <c r="I8" i="2"/>
  <c r="G8" i="2"/>
  <c r="C8" i="2"/>
</calcChain>
</file>

<file path=xl/sharedStrings.xml><?xml version="1.0" encoding="utf-8"?>
<sst xmlns="http://schemas.openxmlformats.org/spreadsheetml/2006/main" count="2012" uniqueCount="567">
  <si>
    <t>Species evaluation - every adduct is counted independently</t>
  </si>
  <si>
    <t>LDA MS1 identified</t>
  </si>
  <si>
    <t>LB-10 MS1 identified</t>
  </si>
  <si>
    <t>LDA MS1 PPV</t>
  </si>
  <si>
    <t>LB-10 MS1 PPV</t>
  </si>
  <si>
    <t>LDA MS2 identified</t>
  </si>
  <si>
    <t>LB-10 MS2 identified</t>
  </si>
  <si>
    <t>LDA MS2 PPV</t>
  </si>
  <si>
    <t>LB-10 MS2 PPV</t>
  </si>
  <si>
    <t>P-PC</t>
  </si>
  <si>
    <t>no MS/MS</t>
  </si>
  <si>
    <t>P-PE</t>
  </si>
  <si>
    <t>LPC</t>
  </si>
  <si>
    <t>5/6</t>
  </si>
  <si>
    <t>83%</t>
  </si>
  <si>
    <t>0/6</t>
  </si>
  <si>
    <t>0%</t>
  </si>
  <si>
    <t>5/5</t>
  </si>
  <si>
    <t>0/0</t>
  </si>
  <si>
    <t>NA</t>
  </si>
  <si>
    <t>LPE</t>
  </si>
  <si>
    <t>1/1</t>
  </si>
  <si>
    <t>100%</t>
  </si>
  <si>
    <t>0/1</t>
  </si>
  <si>
    <t>1/3</t>
  </si>
  <si>
    <t>33%</t>
  </si>
  <si>
    <t>PS</t>
  </si>
  <si>
    <t>PC</t>
  </si>
  <si>
    <t>27/29</t>
  </si>
  <si>
    <t>10/29</t>
  </si>
  <si>
    <t>27/27</t>
  </si>
  <si>
    <t>10/20</t>
  </si>
  <si>
    <t>15/20</t>
  </si>
  <si>
    <t>11/20</t>
  </si>
  <si>
    <t>15/16</t>
  </si>
  <si>
    <t>11/34</t>
  </si>
  <si>
    <t>PE</t>
  </si>
  <si>
    <t>8/8</t>
  </si>
  <si>
    <t>7/8</t>
  </si>
  <si>
    <t>7/9</t>
  </si>
  <si>
    <t>6/7</t>
  </si>
  <si>
    <t>6/6</t>
  </si>
  <si>
    <t>6/14</t>
  </si>
  <si>
    <t>TG</t>
  </si>
  <si>
    <t>44/44</t>
  </si>
  <si>
    <t>41/44</t>
  </si>
  <si>
    <t>44/46</t>
  </si>
  <si>
    <t>41/49</t>
  </si>
  <si>
    <t>142/179</t>
  </si>
  <si>
    <t>116/179</t>
  </si>
  <si>
    <t>142/148</t>
  </si>
  <si>
    <t>116/133</t>
  </si>
  <si>
    <t>SM</t>
  </si>
  <si>
    <t>9/10</t>
  </si>
  <si>
    <t>3/10</t>
  </si>
  <si>
    <t>9/9</t>
  </si>
  <si>
    <t>3/7</t>
  </si>
  <si>
    <t>Total</t>
  </si>
  <si>
    <t>94/98</t>
  </si>
  <si>
    <t>61/98</t>
  </si>
  <si>
    <t>61/85</t>
  </si>
  <si>
    <t>163/206</t>
  </si>
  <si>
    <t>133/206</t>
  </si>
  <si>
    <t>163/170</t>
  </si>
  <si>
    <t>133/181</t>
  </si>
  <si>
    <t>Total w/o TG</t>
  </si>
  <si>
    <t>50/54</t>
  </si>
  <si>
    <t>20/54</t>
  </si>
  <si>
    <t>50/52</t>
  </si>
  <si>
    <t>20/36</t>
  </si>
  <si>
    <t>21/27</t>
  </si>
  <si>
    <t>17/27</t>
  </si>
  <si>
    <t>21/22</t>
  </si>
  <si>
    <t>17/48</t>
  </si>
  <si>
    <t>Species evaluation - adduct insensitive</t>
  </si>
  <si>
    <t>20/20</t>
  </si>
  <si>
    <t>9/20</t>
  </si>
  <si>
    <t>9/19</t>
  </si>
  <si>
    <t>12/14</t>
  </si>
  <si>
    <t>10/14</t>
  </si>
  <si>
    <t>12/13</t>
  </si>
  <si>
    <t>10/33</t>
  </si>
  <si>
    <t>7/7</t>
  </si>
  <si>
    <t>6/8</t>
  </si>
  <si>
    <t>5/13</t>
  </si>
  <si>
    <t>34/34</t>
  </si>
  <si>
    <t>33/34</t>
  </si>
  <si>
    <t>34/36</t>
  </si>
  <si>
    <t>33/37</t>
  </si>
  <si>
    <t>131/161</t>
  </si>
  <si>
    <t>105/161</t>
  </si>
  <si>
    <t>131/137</t>
  </si>
  <si>
    <t>105/116</t>
  </si>
  <si>
    <t>74/75</t>
  </si>
  <si>
    <t>51/75</t>
  </si>
  <si>
    <t>74/78</t>
  </si>
  <si>
    <t>51/71</t>
  </si>
  <si>
    <t>149/181</t>
  </si>
  <si>
    <t>120/181</t>
  </si>
  <si>
    <t>149/156</t>
  </si>
  <si>
    <t>120/162</t>
  </si>
  <si>
    <t>40/41</t>
  </si>
  <si>
    <t>18/41</t>
  </si>
  <si>
    <t>40/42</t>
  </si>
  <si>
    <t>18/34</t>
  </si>
  <si>
    <t>18/20</t>
  </si>
  <si>
    <t>18/19</t>
  </si>
  <si>
    <t>15/46</t>
  </si>
  <si>
    <t>LB-450 MS1 identified</t>
  </si>
  <si>
    <t>LB-450 MS1 PPV</t>
  </si>
  <si>
    <t>LB-450 MS2 identified</t>
  </si>
  <si>
    <t>LB-450 MS2 PPV</t>
  </si>
  <si>
    <t>3/29</t>
  </si>
  <si>
    <t>0/8</t>
  </si>
  <si>
    <t>15/44</t>
  </si>
  <si>
    <t>0/10</t>
  </si>
  <si>
    <t>18/98</t>
  </si>
  <si>
    <t>3/54</t>
  </si>
  <si>
    <t>3/20</t>
  </si>
  <si>
    <t>0/7</t>
  </si>
  <si>
    <t>15/34</t>
  </si>
  <si>
    <t>18/75</t>
  </si>
  <si>
    <t>3/41</t>
  </si>
  <si>
    <t>3/3</t>
  </si>
  <si>
    <t>15/15</t>
  </si>
  <si>
    <t>18/18</t>
  </si>
  <si>
    <t>3/14</t>
  </si>
  <si>
    <t>15/161</t>
  </si>
  <si>
    <t>18/181</t>
  </si>
  <si>
    <t>15/179</t>
  </si>
  <si>
    <t>18/206</t>
  </si>
  <si>
    <t>3/27</t>
  </si>
  <si>
    <t>4/4</t>
  </si>
  <si>
    <t>4/7</t>
  </si>
  <si>
    <t>5/8</t>
  </si>
  <si>
    <t>2/2</t>
  </si>
  <si>
    <t>26/28</t>
  </si>
  <si>
    <t>13/20</t>
  </si>
  <si>
    <t>13/13</t>
  </si>
  <si>
    <t>47/52</t>
  </si>
  <si>
    <t>22/22</t>
  </si>
  <si>
    <t>21/23</t>
  </si>
  <si>
    <t>16/16</t>
  </si>
  <si>
    <t>4/29</t>
  </si>
  <si>
    <t>20/51</t>
  </si>
  <si>
    <t>24/103</t>
  </si>
  <si>
    <t>4/52</t>
  </si>
  <si>
    <t>4/20</t>
  </si>
  <si>
    <t>18/38</t>
  </si>
  <si>
    <t>22/78</t>
  </si>
  <si>
    <t>4/40</t>
  </si>
  <si>
    <t>2/6</t>
  </si>
  <si>
    <t>27/28</t>
  </si>
  <si>
    <t>21/26</t>
  </si>
  <si>
    <t>12/26</t>
  </si>
  <si>
    <t>21/21</t>
  </si>
  <si>
    <t>12/36</t>
  </si>
  <si>
    <t>5/7</t>
  </si>
  <si>
    <t>6/9</t>
  </si>
  <si>
    <t>4/6</t>
  </si>
  <si>
    <t>4/17</t>
  </si>
  <si>
    <t>49/51</t>
  </si>
  <si>
    <t>49/52</t>
  </si>
  <si>
    <t>49/62</t>
  </si>
  <si>
    <t>131/185</t>
  </si>
  <si>
    <t>131/165</t>
  </si>
  <si>
    <t>1/8</t>
  </si>
  <si>
    <t>8/9</t>
  </si>
  <si>
    <t>1/5</t>
  </si>
  <si>
    <t>96/103</t>
  </si>
  <si>
    <t>69/103</t>
  </si>
  <si>
    <t>96/104</t>
  </si>
  <si>
    <t>69/99</t>
  </si>
  <si>
    <t>156/162</t>
  </si>
  <si>
    <t>156/218</t>
  </si>
  <si>
    <t>20/52</t>
  </si>
  <si>
    <t>20/37</t>
  </si>
  <si>
    <t>25/25</t>
  </si>
  <si>
    <t>20/21</t>
  </si>
  <si>
    <t>9/18</t>
  </si>
  <si>
    <t>17/18</t>
  </si>
  <si>
    <t>11/18</t>
  </si>
  <si>
    <t>17/17</t>
  </si>
  <si>
    <t>3/5</t>
  </si>
  <si>
    <t>4/5</t>
  </si>
  <si>
    <t>37/38</t>
  </si>
  <si>
    <t>37/40</t>
  </si>
  <si>
    <t>37/46</t>
  </si>
  <si>
    <t>126/169</t>
  </si>
  <si>
    <t>118/169</t>
  </si>
  <si>
    <t>126/132</t>
  </si>
  <si>
    <t>118/149</t>
  </si>
  <si>
    <t>1/6</t>
  </si>
  <si>
    <t>56/78</t>
  </si>
  <si>
    <t>56/81</t>
  </si>
  <si>
    <t>146/193</t>
  </si>
  <si>
    <t>134/193</t>
  </si>
  <si>
    <t>146/152</t>
  </si>
  <si>
    <t>134/203</t>
  </si>
  <si>
    <t>19/40</t>
  </si>
  <si>
    <t>19/35</t>
  </si>
  <si>
    <t>20/24</t>
  </si>
  <si>
    <t>16/24</t>
  </si>
  <si>
    <t>16/54</t>
  </si>
  <si>
    <t>24/24</t>
  </si>
  <si>
    <t>5/26</t>
  </si>
  <si>
    <t>21/185</t>
  </si>
  <si>
    <t>4/18</t>
  </si>
  <si>
    <t>0/5</t>
  </si>
  <si>
    <t>19/169</t>
  </si>
  <si>
    <t>23/193</t>
  </si>
  <si>
    <t>4/24</t>
  </si>
  <si>
    <t>26/27</t>
  </si>
  <si>
    <t>19/19</t>
  </si>
  <si>
    <t>23/24</t>
  </si>
  <si>
    <t>0/3</t>
  </si>
  <si>
    <t>32/34</t>
  </si>
  <si>
    <t>12/34</t>
  </si>
  <si>
    <t>32/32</t>
  </si>
  <si>
    <t>12/23</t>
  </si>
  <si>
    <t>14/27</t>
  </si>
  <si>
    <t>14/47</t>
  </si>
  <si>
    <t>8/10</t>
  </si>
  <si>
    <t>9/11</t>
  </si>
  <si>
    <t>5/11</t>
  </si>
  <si>
    <t>6/11</t>
  </si>
  <si>
    <t>6/18</t>
  </si>
  <si>
    <t>45/47</t>
  </si>
  <si>
    <t>43/47</t>
  </si>
  <si>
    <t>45/48</t>
  </si>
  <si>
    <t>43/57</t>
  </si>
  <si>
    <t>133/178</t>
  </si>
  <si>
    <t>119/178</t>
  </si>
  <si>
    <t>133/138</t>
  </si>
  <si>
    <t>119/145</t>
  </si>
  <si>
    <t>2/8</t>
  </si>
  <si>
    <t>2/7</t>
  </si>
  <si>
    <t>98/105</t>
  </si>
  <si>
    <t>69/105</t>
  </si>
  <si>
    <t>98/101</t>
  </si>
  <si>
    <t>69/102</t>
  </si>
  <si>
    <t>155/216</t>
  </si>
  <si>
    <t>139/216</t>
  </si>
  <si>
    <t>155/163</t>
  </si>
  <si>
    <t>139/213</t>
  </si>
  <si>
    <t>53/58</t>
  </si>
  <si>
    <t>26/58</t>
  </si>
  <si>
    <t>53/53</t>
  </si>
  <si>
    <t>26/45</t>
  </si>
  <si>
    <t>22/38</t>
  </si>
  <si>
    <t>20/38</t>
  </si>
  <si>
    <t>22/25</t>
  </si>
  <si>
    <t>20/68</t>
  </si>
  <si>
    <t>23/23</t>
  </si>
  <si>
    <t>14/20</t>
  </si>
  <si>
    <t>4/8</t>
  </si>
  <si>
    <t>6/17</t>
  </si>
  <si>
    <t>35/36</t>
  </si>
  <si>
    <t>35/38</t>
  </si>
  <si>
    <t>35/45</t>
  </si>
  <si>
    <t>127/166</t>
  </si>
  <si>
    <t>112/166</t>
  </si>
  <si>
    <t>127/132</t>
  </si>
  <si>
    <t>112/136</t>
  </si>
  <si>
    <t>76/78</t>
  </si>
  <si>
    <t>59/78</t>
  </si>
  <si>
    <t>76/79</t>
  </si>
  <si>
    <t>59/88</t>
  </si>
  <si>
    <t>144/194</t>
  </si>
  <si>
    <t>132/194</t>
  </si>
  <si>
    <t>144/152</t>
  </si>
  <si>
    <t>41/42</t>
  </si>
  <si>
    <t>24/42</t>
  </si>
  <si>
    <t>41/41</t>
  </si>
  <si>
    <t>24/43</t>
  </si>
  <si>
    <t>17/28</t>
  </si>
  <si>
    <t>20/28</t>
  </si>
  <si>
    <t>17/20</t>
  </si>
  <si>
    <t>5/34</t>
  </si>
  <si>
    <t>18/47</t>
  </si>
  <si>
    <t>23/105</t>
  </si>
  <si>
    <t>5/58</t>
  </si>
  <si>
    <t>5/23</t>
  </si>
  <si>
    <t>18/36</t>
  </si>
  <si>
    <t>23/78</t>
  </si>
  <si>
    <t>5/42</t>
  </si>
  <si>
    <t>4/27</t>
  </si>
  <si>
    <t>0/11</t>
  </si>
  <si>
    <t>22/178</t>
  </si>
  <si>
    <t>26/216</t>
  </si>
  <si>
    <t>4/38</t>
  </si>
  <si>
    <t>22/166</t>
  </si>
  <si>
    <t>26/194</t>
  </si>
  <si>
    <t>4/28</t>
  </si>
  <si>
    <t>1/2</t>
  </si>
  <si>
    <t>30/33</t>
  </si>
  <si>
    <t>11/33</t>
  </si>
  <si>
    <t>30/30</t>
  </si>
  <si>
    <t>15/28</t>
  </si>
  <si>
    <t>4/10</t>
  </si>
  <si>
    <t>46/51</t>
  </si>
  <si>
    <t>49/50</t>
  </si>
  <si>
    <t>46/58</t>
  </si>
  <si>
    <t>139/196</t>
  </si>
  <si>
    <t>138/196</t>
  </si>
  <si>
    <t>139/140</t>
  </si>
  <si>
    <t>138/163</t>
  </si>
  <si>
    <t>102/108</t>
  </si>
  <si>
    <t>64/108</t>
  </si>
  <si>
    <t>102/104</t>
  </si>
  <si>
    <t>64/93</t>
  </si>
  <si>
    <t>166/232</t>
  </si>
  <si>
    <t>158/232</t>
  </si>
  <si>
    <t>166/168</t>
  </si>
  <si>
    <t>158/218</t>
  </si>
  <si>
    <t>53/57</t>
  </si>
  <si>
    <t>18/57</t>
  </si>
  <si>
    <t>53/54</t>
  </si>
  <si>
    <t>18/35</t>
  </si>
  <si>
    <t>27/36</t>
  </si>
  <si>
    <t>20/55</t>
  </si>
  <si>
    <t>11/22</t>
  </si>
  <si>
    <t>39/41</t>
  </si>
  <si>
    <t>38/41</t>
  </si>
  <si>
    <t>39/40</t>
  </si>
  <si>
    <t>38/45</t>
  </si>
  <si>
    <t>132/183</t>
  </si>
  <si>
    <t>129/183</t>
  </si>
  <si>
    <t>132/133</t>
  </si>
  <si>
    <t>129/152</t>
  </si>
  <si>
    <t>1/7</t>
  </si>
  <si>
    <t>81/84</t>
  </si>
  <si>
    <t>56/84</t>
  </si>
  <si>
    <t>81/83</t>
  </si>
  <si>
    <t>56/80</t>
  </si>
  <si>
    <t>152/209</t>
  </si>
  <si>
    <t>149/209</t>
  </si>
  <si>
    <t>152/154</t>
  </si>
  <si>
    <t>149/207</t>
  </si>
  <si>
    <t>42/43</t>
  </si>
  <si>
    <t>18/43</t>
  </si>
  <si>
    <t>20/26</t>
  </si>
  <si>
    <t>3/33</t>
  </si>
  <si>
    <t>19/51</t>
  </si>
  <si>
    <t>22/108</t>
  </si>
  <si>
    <t>3/57</t>
  </si>
  <si>
    <t>3/22</t>
  </si>
  <si>
    <t>17/41</t>
  </si>
  <si>
    <t>20/84</t>
  </si>
  <si>
    <t>3/43</t>
  </si>
  <si>
    <t>19/21</t>
  </si>
  <si>
    <t>22/26</t>
  </si>
  <si>
    <t>20/23</t>
  </si>
  <si>
    <t>3/28</t>
  </si>
  <si>
    <t>21/196</t>
  </si>
  <si>
    <t>24/232</t>
  </si>
  <si>
    <t>3/36</t>
  </si>
  <si>
    <t>21/183</t>
  </si>
  <si>
    <t>24/209</t>
  </si>
  <si>
    <t>3/26</t>
  </si>
  <si>
    <t>3/9</t>
  </si>
  <si>
    <t>24/32</t>
  </si>
  <si>
    <t>33/35</t>
  </si>
  <si>
    <t>13/35</t>
  </si>
  <si>
    <t>33/33</t>
  </si>
  <si>
    <t>13/25</t>
  </si>
  <si>
    <t>16/28</t>
  </si>
  <si>
    <t>13/28</t>
  </si>
  <si>
    <t>13/47</t>
  </si>
  <si>
    <t>6/16</t>
  </si>
  <si>
    <t>52/54</t>
  </si>
  <si>
    <t>45/54</t>
  </si>
  <si>
    <t>52/57</t>
  </si>
  <si>
    <t>45/55</t>
  </si>
  <si>
    <t>143/196</t>
  </si>
  <si>
    <t>132/196</t>
  </si>
  <si>
    <t>143/147</t>
  </si>
  <si>
    <t>132/165</t>
  </si>
  <si>
    <t>8/11</t>
  </si>
  <si>
    <t>3/11</t>
  </si>
  <si>
    <t>106/115</t>
  </si>
  <si>
    <t>69/115</t>
  </si>
  <si>
    <t>106/113</t>
  </si>
  <si>
    <t>163/232</t>
  </si>
  <si>
    <t>152/232</t>
  </si>
  <si>
    <t>54/61</t>
  </si>
  <si>
    <t>24/61</t>
  </si>
  <si>
    <t>54/56</t>
  </si>
  <si>
    <t>24/45</t>
  </si>
  <si>
    <t>20/66</t>
  </si>
  <si>
    <t>12/24</t>
  </si>
  <si>
    <t>14/23</t>
  </si>
  <si>
    <t>14/14</t>
  </si>
  <si>
    <t>12/46</t>
  </si>
  <si>
    <t>5/15</t>
  </si>
  <si>
    <t>41/43</t>
  </si>
  <si>
    <t>39/43</t>
  </si>
  <si>
    <t>41/46</t>
  </si>
  <si>
    <t>39/47</t>
  </si>
  <si>
    <t>135/183</t>
  </si>
  <si>
    <t>124/183</t>
  </si>
  <si>
    <t>135/139</t>
  </si>
  <si>
    <t>124/156</t>
  </si>
  <si>
    <t>3/8</t>
  </si>
  <si>
    <t>84/89</t>
  </si>
  <si>
    <t>61/89</t>
  </si>
  <si>
    <t>84/91</t>
  </si>
  <si>
    <t>153/213</t>
  </si>
  <si>
    <t>142/213</t>
  </si>
  <si>
    <t>142/220</t>
  </si>
  <si>
    <t>43/46</t>
  </si>
  <si>
    <t>22/46</t>
  </si>
  <si>
    <t>43/45</t>
  </si>
  <si>
    <t>22/42</t>
  </si>
  <si>
    <t>18/30</t>
  </si>
  <si>
    <t>18/64</t>
  </si>
  <si>
    <t>7/35</t>
  </si>
  <si>
    <t>21/54</t>
  </si>
  <si>
    <t>28/115</t>
  </si>
  <si>
    <t>7/61</t>
  </si>
  <si>
    <t>7/23</t>
  </si>
  <si>
    <t>21/43</t>
  </si>
  <si>
    <t>0/9</t>
  </si>
  <si>
    <t>28/89</t>
  </si>
  <si>
    <t>7/46</t>
  </si>
  <si>
    <t>28/28</t>
  </si>
  <si>
    <t>5/28</t>
  </si>
  <si>
    <t>28/196</t>
  </si>
  <si>
    <t>33/232</t>
  </si>
  <si>
    <t>5/36</t>
  </si>
  <si>
    <t>28/183</t>
  </si>
  <si>
    <t>33/213</t>
  </si>
  <si>
    <t>5/30</t>
  </si>
  <si>
    <t>33/41</t>
  </si>
  <si>
    <t>74/82</t>
  </si>
  <si>
    <t>69/100</t>
  </si>
  <si>
    <t>37/42</t>
  </si>
  <si>
    <t>25/33</t>
  </si>
  <si>
    <t>26/218</t>
  </si>
  <si>
    <t>5/33</t>
  </si>
  <si>
    <t>17/33</t>
  </si>
  <si>
    <t>148/218</t>
  </si>
  <si>
    <t>163/167</t>
  </si>
  <si>
    <t>16/56</t>
  </si>
  <si>
    <t>156/221</t>
  </si>
  <si>
    <t>152/231</t>
  </si>
  <si>
    <t>153/157</t>
  </si>
  <si>
    <t>20/67</t>
  </si>
  <si>
    <t>132/203</t>
  </si>
  <si>
    <t>28/29</t>
  </si>
  <si>
    <t>0/29</t>
  </si>
  <si>
    <t>5/29</t>
  </si>
  <si>
    <t>28/30</t>
  </si>
  <si>
    <t>3/4</t>
  </si>
  <si>
    <t>149/160</t>
  </si>
  <si>
    <t>22/160</t>
  </si>
  <si>
    <t>56/160</t>
  </si>
  <si>
    <t>149/150</t>
  </si>
  <si>
    <t>22/24</t>
  </si>
  <si>
    <t>56/108</t>
  </si>
  <si>
    <t>89/129</t>
  </si>
  <si>
    <t>20/129</t>
  </si>
  <si>
    <t>65/129</t>
  </si>
  <si>
    <t>89/91</t>
  </si>
  <si>
    <t>65/208</t>
  </si>
  <si>
    <t>35/40</t>
  </si>
  <si>
    <t>0/40</t>
  </si>
  <si>
    <t>34/40</t>
  </si>
  <si>
    <t>35/35</t>
  </si>
  <si>
    <t>34/46</t>
  </si>
  <si>
    <t>26/38</t>
  </si>
  <si>
    <t>0/38</t>
  </si>
  <si>
    <t>26/29</t>
  </si>
  <si>
    <t>26/75</t>
  </si>
  <si>
    <t>239/247</t>
  </si>
  <si>
    <t>93/247</t>
  </si>
  <si>
    <t>224/247</t>
  </si>
  <si>
    <t>239/253</t>
  </si>
  <si>
    <t>93/95</t>
  </si>
  <si>
    <t>224/281</t>
  </si>
  <si>
    <t>688/934</t>
  </si>
  <si>
    <t>107/934</t>
  </si>
  <si>
    <t>636/934</t>
  </si>
  <si>
    <t>688/710</t>
  </si>
  <si>
    <t>107/109</t>
  </si>
  <si>
    <t>636/771</t>
  </si>
  <si>
    <t>40/45</t>
  </si>
  <si>
    <t>0/45</t>
  </si>
  <si>
    <t>10/45</t>
  </si>
  <si>
    <t>10/34</t>
  </si>
  <si>
    <t>496/529</t>
  </si>
  <si>
    <t>115/529</t>
  </si>
  <si>
    <t>332/529</t>
  </si>
  <si>
    <t>496/520</t>
  </si>
  <si>
    <t>115/119</t>
  </si>
  <si>
    <t>332/479</t>
  </si>
  <si>
    <t>803/1104</t>
  </si>
  <si>
    <t>127/1104</t>
  </si>
  <si>
    <t>730/1104</t>
  </si>
  <si>
    <t>803/830</t>
  </si>
  <si>
    <t>127/146</t>
  </si>
  <si>
    <t>730/1064</t>
  </si>
  <si>
    <t>257/282</t>
  </si>
  <si>
    <t>22/282</t>
  </si>
  <si>
    <t>108/282</t>
  </si>
  <si>
    <t>257/267</t>
  </si>
  <si>
    <t>108/198</t>
  </si>
  <si>
    <t>115/170</t>
  </si>
  <si>
    <t>20/170</t>
  </si>
  <si>
    <t>94/170</t>
  </si>
  <si>
    <t>115/120</t>
  </si>
  <si>
    <t>94/293</t>
  </si>
  <si>
    <t>108/108</t>
  </si>
  <si>
    <t>53/108</t>
  </si>
  <si>
    <t>108/109</t>
  </si>
  <si>
    <t>53/104</t>
  </si>
  <si>
    <t>71/95</t>
  </si>
  <si>
    <t>19/95</t>
  </si>
  <si>
    <t>62/95</t>
  </si>
  <si>
    <t>71/73</t>
  </si>
  <si>
    <t>19/36</t>
  </si>
  <si>
    <t>62/204</t>
  </si>
  <si>
    <t>29/32</t>
  </si>
  <si>
    <t>0/32</t>
  </si>
  <si>
    <t>30/32</t>
  </si>
  <si>
    <t>29/29</t>
  </si>
  <si>
    <t>30/42</t>
  </si>
  <si>
    <t>22/30</t>
  </si>
  <si>
    <t>0/30</t>
  </si>
  <si>
    <t>24/30</t>
  </si>
  <si>
    <t>24/72</t>
  </si>
  <si>
    <t>186/192</t>
  </si>
  <si>
    <t>89/192</t>
  </si>
  <si>
    <t>182/192</t>
  </si>
  <si>
    <t>186/200</t>
  </si>
  <si>
    <t>89/90</t>
  </si>
  <si>
    <t>182/220</t>
  </si>
  <si>
    <t>651/862</t>
  </si>
  <si>
    <t>105/862</t>
  </si>
  <si>
    <t>588/862</t>
  </si>
  <si>
    <t>651/673</t>
  </si>
  <si>
    <t>105/107</t>
  </si>
  <si>
    <t>588/709</t>
  </si>
  <si>
    <t>0/35</t>
  </si>
  <si>
    <t>10/35</t>
  </si>
  <si>
    <t>389/404</t>
  </si>
  <si>
    <t>111/404</t>
  </si>
  <si>
    <t>283/404</t>
  </si>
  <si>
    <t>389/413</t>
  </si>
  <si>
    <t>111/114</t>
  </si>
  <si>
    <t>283/409</t>
  </si>
  <si>
    <t>744/990</t>
  </si>
  <si>
    <t>124/990</t>
  </si>
  <si>
    <t>677/990</t>
  </si>
  <si>
    <t>744/771</t>
  </si>
  <si>
    <t>124/143</t>
  </si>
  <si>
    <t>677/995</t>
  </si>
  <si>
    <t>203/212</t>
  </si>
  <si>
    <t>22/212</t>
  </si>
  <si>
    <t>101/212</t>
  </si>
  <si>
    <t>203/213</t>
  </si>
  <si>
    <t>101/189</t>
  </si>
  <si>
    <t>93/128</t>
  </si>
  <si>
    <t>19/128</t>
  </si>
  <si>
    <t>89/128</t>
  </si>
  <si>
    <t>93/98</t>
  </si>
  <si>
    <t>89/286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</si>
</sst>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27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2" applyFont="1" applyAlignment="1">
      <alignment horizontal="left"/>
    </xf>
    <xf numFmtId="0" fontId="4" fillId="0" borderId="0" xfId="3" applyNumberFormat="1" applyFont="1" applyAlignment="1">
      <alignment horizontal="center"/>
    </xf>
    <xf numFmtId="9" fontId="4" fillId="0" borderId="0" xfId="3" applyNumberFormat="1" applyFont="1" applyAlignment="1">
      <alignment horizontal="center"/>
    </xf>
    <xf numFmtId="49" fontId="4" fillId="0" borderId="0" xfId="3" applyNumberFormat="1" applyFont="1" applyAlignment="1">
      <alignment horizontal="center"/>
    </xf>
    <xf numFmtId="49" fontId="2" fillId="0" borderId="0" xfId="3" applyNumberFormat="1" applyFont="1" applyAlignment="1">
      <alignment horizontal="center"/>
    </xf>
    <xf numFmtId="9" fontId="2" fillId="0" borderId="0" xfId="3" applyNumberFormat="1" applyFont="1" applyAlignment="1">
      <alignment horizontal="center"/>
    </xf>
    <xf numFmtId="0" fontId="4" fillId="0" borderId="0" xfId="2" applyNumberFormat="1" applyFont="1" applyAlignment="1">
      <alignment horizontal="center"/>
    </xf>
    <xf numFmtId="9" fontId="4" fillId="0" borderId="0" xfId="2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49" fontId="4" fillId="0" borderId="0" xfId="1" applyNumberFormat="1" applyFont="1"/>
    <xf numFmtId="4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1" fillId="0" borderId="0" xfId="3" applyNumberFormat="1" applyFont="1" applyAlignment="1">
      <alignment horizontal="center"/>
    </xf>
    <xf numFmtId="9" fontId="1" fillId="0" borderId="0" xfId="3" applyNumberFormat="1" applyFont="1" applyAlignment="1">
      <alignment horizontal="center"/>
    </xf>
    <xf numFmtId="49" fontId="0" fillId="0" borderId="0" xfId="3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</cellXfs>
  <cellStyles count="4">
    <cellStyle name="Normal" xfId="0" builtinId="0"/>
    <cellStyle name="Normal 2" xfId="3"/>
    <cellStyle name="Standard 2" xfId="1"/>
    <cellStyle name="Standard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/>
  </sheetViews>
  <sheetFormatPr defaultColWidth="9.140625" defaultRowHeight="15" x14ac:dyDescent="0.25"/>
  <cols>
    <col min="1" max="1" width="17.42578125" style="2" customWidth="1"/>
    <col min="2" max="22" width="12.85546875" style="2" customWidth="1"/>
    <col min="23" max="23" width="13" style="2" customWidth="1"/>
    <col min="24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5" t="s">
        <v>108</v>
      </c>
      <c r="E2" s="25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18"/>
      <c r="E3" s="15"/>
      <c r="F3" s="4"/>
      <c r="G3" s="5"/>
      <c r="H3" s="4"/>
      <c r="I3" s="5"/>
      <c r="J3" s="18"/>
      <c r="K3" s="15"/>
      <c r="L3" s="4"/>
      <c r="M3" s="5"/>
      <c r="N3" s="4"/>
      <c r="O3" s="5"/>
      <c r="P3" s="18"/>
      <c r="Q3" s="15"/>
      <c r="R3" s="4"/>
      <c r="S3" s="5"/>
      <c r="T3" s="4"/>
      <c r="U3" s="5"/>
      <c r="V3" s="18"/>
      <c r="W3" s="1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18"/>
      <c r="E4" s="15"/>
      <c r="F4" s="4"/>
      <c r="G4" s="5"/>
      <c r="H4" s="4"/>
      <c r="I4" s="5"/>
      <c r="J4" s="18"/>
      <c r="K4" s="15"/>
      <c r="L4" s="4"/>
      <c r="M4" s="5"/>
      <c r="N4" s="4"/>
      <c r="O4" s="5"/>
      <c r="P4" s="18"/>
      <c r="Q4" s="15"/>
      <c r="R4" s="4"/>
      <c r="S4" s="5"/>
      <c r="T4" s="4"/>
      <c r="U4" s="5"/>
      <c r="V4" s="18"/>
      <c r="W4" s="15"/>
      <c r="X4" s="4"/>
      <c r="Y4" s="5"/>
    </row>
    <row r="5" spans="1:25" ht="15.75" x14ac:dyDescent="0.25">
      <c r="A5" s="3" t="s">
        <v>12</v>
      </c>
      <c r="B5" s="6" t="s">
        <v>449</v>
      </c>
      <c r="C5" s="5">
        <f>28/29</f>
        <v>0.96551724137931039</v>
      </c>
      <c r="D5" s="14" t="s">
        <v>450</v>
      </c>
      <c r="E5" s="15">
        <f>0/29</f>
        <v>0</v>
      </c>
      <c r="F5" s="6" t="s">
        <v>451</v>
      </c>
      <c r="G5" s="5">
        <f>5/29</f>
        <v>0.17241379310344829</v>
      </c>
      <c r="H5" s="6" t="s">
        <v>452</v>
      </c>
      <c r="I5" s="5">
        <f>28/30</f>
        <v>0.93333333333333335</v>
      </c>
      <c r="J5" s="14" t="s">
        <v>18</v>
      </c>
      <c r="K5" s="14" t="s">
        <v>19</v>
      </c>
      <c r="L5" s="6" t="s">
        <v>17</v>
      </c>
      <c r="M5" s="5">
        <f>5/5</f>
        <v>1</v>
      </c>
      <c r="N5" s="6" t="s">
        <v>19</v>
      </c>
      <c r="O5" s="6" t="s">
        <v>19</v>
      </c>
      <c r="P5" s="14" t="s">
        <v>19</v>
      </c>
      <c r="Q5" s="14" t="s">
        <v>19</v>
      </c>
      <c r="R5" s="6" t="s">
        <v>19</v>
      </c>
      <c r="S5" s="6" t="s">
        <v>19</v>
      </c>
      <c r="T5" s="6" t="s">
        <v>19</v>
      </c>
      <c r="U5" s="6" t="s">
        <v>19</v>
      </c>
      <c r="V5" s="14" t="s">
        <v>19</v>
      </c>
      <c r="W5" s="14" t="s">
        <v>19</v>
      </c>
      <c r="X5" s="6" t="s">
        <v>19</v>
      </c>
      <c r="Y5" s="6" t="s">
        <v>19</v>
      </c>
    </row>
    <row r="6" spans="1:25" ht="15.75" x14ac:dyDescent="0.25">
      <c r="A6" s="3" t="s">
        <v>20</v>
      </c>
      <c r="B6" s="6" t="s">
        <v>17</v>
      </c>
      <c r="C6" s="5">
        <f>5/5</f>
        <v>1</v>
      </c>
      <c r="D6" s="14" t="s">
        <v>208</v>
      </c>
      <c r="E6" s="15">
        <f>0/5</f>
        <v>0</v>
      </c>
      <c r="F6" s="6" t="s">
        <v>208</v>
      </c>
      <c r="G6" s="5">
        <f>5/5</f>
        <v>1</v>
      </c>
      <c r="H6" s="6" t="s">
        <v>224</v>
      </c>
      <c r="I6" s="5">
        <f>5/11</f>
        <v>0.45454545454545453</v>
      </c>
      <c r="J6" s="14" t="s">
        <v>18</v>
      </c>
      <c r="K6" s="14" t="s">
        <v>19</v>
      </c>
      <c r="L6" s="6" t="s">
        <v>23</v>
      </c>
      <c r="M6" s="5">
        <f>0/1</f>
        <v>0</v>
      </c>
      <c r="N6" s="6" t="s">
        <v>19</v>
      </c>
      <c r="O6" s="6" t="s">
        <v>19</v>
      </c>
      <c r="P6" s="14" t="s">
        <v>19</v>
      </c>
      <c r="Q6" s="14" t="s">
        <v>19</v>
      </c>
      <c r="R6" s="6" t="s">
        <v>19</v>
      </c>
      <c r="S6" s="6" t="s">
        <v>19</v>
      </c>
      <c r="T6" s="6" t="s">
        <v>19</v>
      </c>
      <c r="U6" s="6" t="s">
        <v>19</v>
      </c>
      <c r="V6" s="14" t="s">
        <v>19</v>
      </c>
      <c r="W6" s="14" t="s">
        <v>19</v>
      </c>
      <c r="X6" s="6" t="s">
        <v>19</v>
      </c>
      <c r="Y6" s="6" t="s">
        <v>19</v>
      </c>
    </row>
    <row r="7" spans="1:25" ht="15.75" x14ac:dyDescent="0.25">
      <c r="A7" s="3" t="s">
        <v>26</v>
      </c>
      <c r="B7" s="6" t="s">
        <v>215</v>
      </c>
      <c r="C7" s="5">
        <f>0/3</f>
        <v>0</v>
      </c>
      <c r="D7" s="6" t="s">
        <v>215</v>
      </c>
      <c r="E7" s="5">
        <f>0/3</f>
        <v>0</v>
      </c>
      <c r="F7" s="6" t="s">
        <v>123</v>
      </c>
      <c r="G7" s="5">
        <f>3/3</f>
        <v>1</v>
      </c>
      <c r="H7" s="6" t="s">
        <v>18</v>
      </c>
      <c r="I7" s="6" t="s">
        <v>19</v>
      </c>
      <c r="J7" s="14" t="s">
        <v>18</v>
      </c>
      <c r="K7" s="14" t="s">
        <v>19</v>
      </c>
      <c r="L7" s="6" t="s">
        <v>453</v>
      </c>
      <c r="M7" s="5">
        <f>3/4</f>
        <v>0.75</v>
      </c>
      <c r="N7" s="6" t="s">
        <v>215</v>
      </c>
      <c r="O7" s="5">
        <f>0/3</f>
        <v>0</v>
      </c>
      <c r="P7" s="6" t="s">
        <v>215</v>
      </c>
      <c r="Q7" s="5">
        <f>0/3</f>
        <v>0</v>
      </c>
      <c r="R7" s="6" t="s">
        <v>123</v>
      </c>
      <c r="S7" s="5">
        <f>3/3</f>
        <v>1</v>
      </c>
      <c r="T7" s="6" t="s">
        <v>18</v>
      </c>
      <c r="U7" s="6" t="s">
        <v>19</v>
      </c>
      <c r="V7" s="14" t="s">
        <v>18</v>
      </c>
      <c r="W7" s="14" t="s">
        <v>19</v>
      </c>
      <c r="X7" s="6" t="s">
        <v>54</v>
      </c>
      <c r="Y7" s="5">
        <f>3/10</f>
        <v>0.3</v>
      </c>
    </row>
    <row r="8" spans="1:25" ht="15.75" x14ac:dyDescent="0.25">
      <c r="A8" s="3" t="s">
        <v>27</v>
      </c>
      <c r="B8" s="6" t="s">
        <v>454</v>
      </c>
      <c r="C8" s="5">
        <f>149/160</f>
        <v>0.93125000000000002</v>
      </c>
      <c r="D8" s="14" t="s">
        <v>455</v>
      </c>
      <c r="E8" s="15">
        <f>22/160</f>
        <v>0.13750000000000001</v>
      </c>
      <c r="F8" s="6" t="s">
        <v>456</v>
      </c>
      <c r="G8" s="5">
        <f>56/160</f>
        <v>0.35</v>
      </c>
      <c r="H8" s="6" t="s">
        <v>457</v>
      </c>
      <c r="I8" s="5">
        <f>149/150</f>
        <v>0.99333333333333329</v>
      </c>
      <c r="J8" s="14" t="s">
        <v>458</v>
      </c>
      <c r="K8" s="15">
        <f>22/24</f>
        <v>0.91666666666666663</v>
      </c>
      <c r="L8" s="6" t="s">
        <v>459</v>
      </c>
      <c r="M8" s="5">
        <f>56/108</f>
        <v>0.51851851851851849</v>
      </c>
      <c r="N8" s="6" t="s">
        <v>460</v>
      </c>
      <c r="O8" s="5">
        <f>89/129</f>
        <v>0.68992248062015504</v>
      </c>
      <c r="P8" s="14" t="s">
        <v>461</v>
      </c>
      <c r="Q8" s="15">
        <f>20/129</f>
        <v>0.15503875968992248</v>
      </c>
      <c r="R8" s="6" t="s">
        <v>462</v>
      </c>
      <c r="S8" s="5">
        <f>65/129</f>
        <v>0.50387596899224807</v>
      </c>
      <c r="T8" s="6" t="s">
        <v>463</v>
      </c>
      <c r="U8" s="5">
        <f>89/91</f>
        <v>0.97802197802197799</v>
      </c>
      <c r="V8" s="14" t="s">
        <v>176</v>
      </c>
      <c r="W8" s="15">
        <f>20/37</f>
        <v>0.54054054054054057</v>
      </c>
      <c r="X8" s="6" t="s">
        <v>464</v>
      </c>
      <c r="Y8" s="5">
        <f>65/208</f>
        <v>0.3125</v>
      </c>
    </row>
    <row r="9" spans="1:25" ht="15.75" x14ac:dyDescent="0.25">
      <c r="A9" s="3" t="s">
        <v>36</v>
      </c>
      <c r="B9" s="6" t="s">
        <v>465</v>
      </c>
      <c r="C9" s="5">
        <f>35/40</f>
        <v>0.875</v>
      </c>
      <c r="D9" s="14" t="s">
        <v>466</v>
      </c>
      <c r="E9" s="15">
        <f>0/40</f>
        <v>0</v>
      </c>
      <c r="F9" s="6" t="s">
        <v>467</v>
      </c>
      <c r="G9" s="5">
        <f>34/40</f>
        <v>0.85</v>
      </c>
      <c r="H9" s="6" t="s">
        <v>468</v>
      </c>
      <c r="I9" s="5">
        <f>35/35</f>
        <v>1</v>
      </c>
      <c r="J9" s="14" t="s">
        <v>18</v>
      </c>
      <c r="K9" s="14" t="s">
        <v>19</v>
      </c>
      <c r="L9" s="6" t="s">
        <v>469</v>
      </c>
      <c r="M9" s="5">
        <f>34/46</f>
        <v>0.73913043478260865</v>
      </c>
      <c r="N9" s="6" t="s">
        <v>470</v>
      </c>
      <c r="O9" s="5">
        <f>26/38</f>
        <v>0.68421052631578949</v>
      </c>
      <c r="P9" s="14" t="s">
        <v>471</v>
      </c>
      <c r="Q9" s="15">
        <f>0/38</f>
        <v>0</v>
      </c>
      <c r="R9" s="6" t="s">
        <v>470</v>
      </c>
      <c r="S9" s="5">
        <f>26/38</f>
        <v>0.68421052631578949</v>
      </c>
      <c r="T9" s="6" t="s">
        <v>472</v>
      </c>
      <c r="U9" s="5">
        <f>26/29</f>
        <v>0.89655172413793105</v>
      </c>
      <c r="V9" s="14" t="s">
        <v>18</v>
      </c>
      <c r="W9" s="14" t="s">
        <v>19</v>
      </c>
      <c r="X9" s="6" t="s">
        <v>473</v>
      </c>
      <c r="Y9" s="5">
        <f>26/75</f>
        <v>0.34666666666666668</v>
      </c>
    </row>
    <row r="10" spans="1:25" ht="15.75" x14ac:dyDescent="0.25">
      <c r="A10" s="3" t="s">
        <v>43</v>
      </c>
      <c r="B10" s="6" t="s">
        <v>474</v>
      </c>
      <c r="C10" s="5">
        <f>239/247</f>
        <v>0.96761133603238869</v>
      </c>
      <c r="D10" s="14" t="s">
        <v>475</v>
      </c>
      <c r="E10" s="15">
        <f>93/247</f>
        <v>0.37651821862348178</v>
      </c>
      <c r="F10" s="6" t="s">
        <v>476</v>
      </c>
      <c r="G10" s="5">
        <f>224/247</f>
        <v>0.90688259109311742</v>
      </c>
      <c r="H10" s="6" t="s">
        <v>477</v>
      </c>
      <c r="I10" s="5">
        <f>239/253</f>
        <v>0.94466403162055335</v>
      </c>
      <c r="J10" s="14" t="s">
        <v>478</v>
      </c>
      <c r="K10" s="15">
        <f>93/95</f>
        <v>0.97894736842105268</v>
      </c>
      <c r="L10" s="6" t="s">
        <v>479</v>
      </c>
      <c r="M10" s="5">
        <f>224/281</f>
        <v>0.79715302491103202</v>
      </c>
      <c r="N10" s="6" t="s">
        <v>480</v>
      </c>
      <c r="O10" s="5">
        <f>688/934</f>
        <v>0.7366167023554604</v>
      </c>
      <c r="P10" s="14" t="s">
        <v>481</v>
      </c>
      <c r="Q10" s="15">
        <f>107/934</f>
        <v>0.11456102783725911</v>
      </c>
      <c r="R10" s="6" t="s">
        <v>482</v>
      </c>
      <c r="S10" s="5">
        <f>636/934</f>
        <v>0.68094218415417562</v>
      </c>
      <c r="T10" s="6" t="s">
        <v>483</v>
      </c>
      <c r="U10" s="5">
        <f>688/710</f>
        <v>0.96901408450704229</v>
      </c>
      <c r="V10" s="14" t="s">
        <v>484</v>
      </c>
      <c r="W10" s="15">
        <f>107/109</f>
        <v>0.98165137614678899</v>
      </c>
      <c r="X10" s="6" t="s">
        <v>485</v>
      </c>
      <c r="Y10" s="5">
        <f>636/771</f>
        <v>0.82490272373540852</v>
      </c>
    </row>
    <row r="11" spans="1:25" ht="15.75" x14ac:dyDescent="0.25">
      <c r="A11" s="3" t="s">
        <v>52</v>
      </c>
      <c r="B11" s="6" t="s">
        <v>486</v>
      </c>
      <c r="C11" s="5">
        <f>40/45</f>
        <v>0.88888888888888884</v>
      </c>
      <c r="D11" s="14" t="s">
        <v>487</v>
      </c>
      <c r="E11" s="15">
        <f>0/45</f>
        <v>0</v>
      </c>
      <c r="F11" s="6" t="s">
        <v>488</v>
      </c>
      <c r="G11" s="5">
        <f>10/45</f>
        <v>0.22222222222222221</v>
      </c>
      <c r="H11" s="6" t="s">
        <v>101</v>
      </c>
      <c r="I11" s="5">
        <f>40/41</f>
        <v>0.97560975609756095</v>
      </c>
      <c r="J11" s="14" t="s">
        <v>18</v>
      </c>
      <c r="K11" s="14" t="s">
        <v>19</v>
      </c>
      <c r="L11" s="6" t="s">
        <v>489</v>
      </c>
      <c r="M11" s="5">
        <f>10/34</f>
        <v>0.29411764705882354</v>
      </c>
      <c r="N11" s="6" t="s">
        <v>19</v>
      </c>
      <c r="O11" s="5" t="s">
        <v>19</v>
      </c>
      <c r="P11" s="14" t="s">
        <v>19</v>
      </c>
      <c r="Q11" s="15" t="s">
        <v>19</v>
      </c>
      <c r="R11" s="6" t="s">
        <v>19</v>
      </c>
      <c r="S11" s="5" t="s">
        <v>19</v>
      </c>
      <c r="T11" s="6" t="s">
        <v>19</v>
      </c>
      <c r="U11" s="5" t="s">
        <v>19</v>
      </c>
      <c r="V11" s="14" t="s">
        <v>19</v>
      </c>
      <c r="W11" s="15" t="s">
        <v>19</v>
      </c>
      <c r="X11" s="6" t="s">
        <v>19</v>
      </c>
      <c r="Y11" s="5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6" t="s">
        <v>490</v>
      </c>
      <c r="C13" s="5">
        <f>496/529</f>
        <v>0.93761814744801508</v>
      </c>
      <c r="D13" s="14" t="s">
        <v>491</v>
      </c>
      <c r="E13" s="15">
        <f>115/529</f>
        <v>0.21739130434782608</v>
      </c>
      <c r="F13" s="6" t="s">
        <v>492</v>
      </c>
      <c r="G13" s="5">
        <f>332/529</f>
        <v>0.6275992438563327</v>
      </c>
      <c r="H13" s="6" t="s">
        <v>493</v>
      </c>
      <c r="I13" s="5">
        <f>496/520</f>
        <v>0.9538461538461539</v>
      </c>
      <c r="J13" s="14" t="s">
        <v>494</v>
      </c>
      <c r="K13" s="15">
        <f>115/119</f>
        <v>0.96638655462184875</v>
      </c>
      <c r="L13" s="6" t="s">
        <v>495</v>
      </c>
      <c r="M13" s="5">
        <f>332/479</f>
        <v>0.6931106471816284</v>
      </c>
      <c r="N13" s="6" t="s">
        <v>496</v>
      </c>
      <c r="O13" s="5">
        <f>803/1104</f>
        <v>0.72735507246376807</v>
      </c>
      <c r="P13" s="14" t="s">
        <v>497</v>
      </c>
      <c r="Q13" s="15">
        <f>127/1104</f>
        <v>0.11503623188405797</v>
      </c>
      <c r="R13" s="6" t="s">
        <v>498</v>
      </c>
      <c r="S13" s="5">
        <f>730/1104</f>
        <v>0.66123188405797106</v>
      </c>
      <c r="T13" s="6" t="s">
        <v>499</v>
      </c>
      <c r="U13" s="5">
        <f>803/830</f>
        <v>0.96746987951807228</v>
      </c>
      <c r="V13" s="14" t="s">
        <v>500</v>
      </c>
      <c r="W13" s="15">
        <f>127/146</f>
        <v>0.86986301369863017</v>
      </c>
      <c r="X13" s="6" t="s">
        <v>501</v>
      </c>
      <c r="Y13" s="5">
        <f>730/1064</f>
        <v>0.68609022556390975</v>
      </c>
    </row>
    <row r="14" spans="1:25" ht="15.75" x14ac:dyDescent="0.25">
      <c r="A14" s="3" t="s">
        <v>65</v>
      </c>
      <c r="B14" s="6" t="s">
        <v>502</v>
      </c>
      <c r="C14" s="5">
        <f>257/282</f>
        <v>0.91134751773049649</v>
      </c>
      <c r="D14" s="14" t="s">
        <v>503</v>
      </c>
      <c r="E14" s="15">
        <f>22/282</f>
        <v>7.8014184397163122E-2</v>
      </c>
      <c r="F14" s="6" t="s">
        <v>504</v>
      </c>
      <c r="G14" s="5">
        <f>108/282</f>
        <v>0.38297872340425532</v>
      </c>
      <c r="H14" s="6" t="s">
        <v>505</v>
      </c>
      <c r="I14" s="5">
        <f>257/267</f>
        <v>0.96254681647940077</v>
      </c>
      <c r="J14" s="14" t="s">
        <v>458</v>
      </c>
      <c r="K14" s="15">
        <f>22/24</f>
        <v>0.91666666666666663</v>
      </c>
      <c r="L14" s="6" t="s">
        <v>506</v>
      </c>
      <c r="M14" s="5">
        <f>108/198</f>
        <v>0.54545454545454541</v>
      </c>
      <c r="N14" s="6" t="s">
        <v>507</v>
      </c>
      <c r="O14" s="5">
        <f>115/170</f>
        <v>0.67647058823529416</v>
      </c>
      <c r="P14" s="14" t="s">
        <v>508</v>
      </c>
      <c r="Q14" s="15">
        <f>20/170</f>
        <v>0.11764705882352941</v>
      </c>
      <c r="R14" s="6" t="s">
        <v>509</v>
      </c>
      <c r="S14" s="5">
        <f>94/170</f>
        <v>0.55294117647058827</v>
      </c>
      <c r="T14" s="6" t="s">
        <v>510</v>
      </c>
      <c r="U14" s="5">
        <f>115/120</f>
        <v>0.95833333333333337</v>
      </c>
      <c r="V14" s="14" t="s">
        <v>176</v>
      </c>
      <c r="W14" s="15">
        <f>20/37</f>
        <v>0.54054054054054057</v>
      </c>
      <c r="X14" s="6" t="s">
        <v>511</v>
      </c>
      <c r="Y14" s="5">
        <f>94/293</f>
        <v>0.32081911262798635</v>
      </c>
    </row>
    <row r="15" spans="1:25" ht="15.75" x14ac:dyDescent="0.25">
      <c r="A15" s="3"/>
      <c r="B15" s="9"/>
      <c r="C15" s="10"/>
      <c r="D15" s="9"/>
      <c r="E15" s="10"/>
      <c r="F15" s="9"/>
      <c r="G15" s="10"/>
      <c r="H15" s="9"/>
      <c r="I15" s="10"/>
      <c r="J15" s="9"/>
      <c r="K15" s="10"/>
      <c r="L15" s="9"/>
      <c r="M15" s="10"/>
      <c r="N15" s="9"/>
      <c r="O15" s="10"/>
      <c r="P15" s="9"/>
      <c r="Q15" s="10"/>
      <c r="R15" s="9"/>
      <c r="S15" s="10"/>
      <c r="T15" s="9"/>
      <c r="U15" s="10"/>
      <c r="V15" s="9"/>
      <c r="W15" s="10"/>
      <c r="X15" s="9"/>
      <c r="Y15" s="10"/>
    </row>
    <row r="16" spans="1:25" ht="15.75" x14ac:dyDescent="0.25">
      <c r="A16" s="3"/>
      <c r="V16" s="11"/>
      <c r="W16" s="12"/>
      <c r="X16" s="11"/>
      <c r="Y16" s="12"/>
    </row>
    <row r="17" spans="1:25" ht="18.75" x14ac:dyDescent="0.3">
      <c r="A17" s="1" t="s">
        <v>74</v>
      </c>
      <c r="V17" s="13"/>
      <c r="X17" s="13"/>
    </row>
    <row r="18" spans="1:25" ht="15.75" x14ac:dyDescent="0.25">
      <c r="B18" s="25" t="s">
        <v>1</v>
      </c>
      <c r="C18" s="25"/>
      <c r="D18" s="25" t="s">
        <v>108</v>
      </c>
      <c r="E18" s="25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18"/>
      <c r="E19" s="15"/>
      <c r="F19" s="4"/>
      <c r="G19" s="5"/>
      <c r="H19" s="4"/>
      <c r="I19" s="5"/>
      <c r="J19" s="18"/>
      <c r="K19" s="15"/>
      <c r="L19" s="4"/>
      <c r="M19" s="5"/>
      <c r="N19" s="4"/>
      <c r="O19" s="5"/>
      <c r="P19" s="18"/>
      <c r="Q19" s="1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D20" s="18"/>
      <c r="E20" s="15"/>
      <c r="F20" s="4"/>
      <c r="G20" s="5"/>
      <c r="H20" s="4"/>
      <c r="I20" s="5"/>
      <c r="J20" s="18"/>
      <c r="K20" s="15"/>
      <c r="L20" s="4"/>
      <c r="M20" s="5"/>
      <c r="N20" s="4"/>
      <c r="O20" s="5"/>
      <c r="P20" s="18"/>
      <c r="Q20" s="1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6" t="s">
        <v>449</v>
      </c>
      <c r="C21" s="5">
        <f>28/29</f>
        <v>0.96551724137931039</v>
      </c>
      <c r="D21" s="14" t="s">
        <v>450</v>
      </c>
      <c r="E21" s="15">
        <f>0/29</f>
        <v>0</v>
      </c>
      <c r="F21" s="6" t="s">
        <v>451</v>
      </c>
      <c r="G21" s="5">
        <f>5/29</f>
        <v>0.17241379310344829</v>
      </c>
      <c r="H21" s="6" t="s">
        <v>452</v>
      </c>
      <c r="I21" s="5">
        <f>28/30</f>
        <v>0.93333333333333335</v>
      </c>
      <c r="J21" s="14" t="s">
        <v>18</v>
      </c>
      <c r="K21" s="14" t="s">
        <v>19</v>
      </c>
      <c r="L21" s="6" t="s">
        <v>17</v>
      </c>
      <c r="M21" s="5">
        <f>5/5</f>
        <v>1</v>
      </c>
      <c r="N21" s="6" t="s">
        <v>19</v>
      </c>
      <c r="O21" s="6" t="s">
        <v>19</v>
      </c>
      <c r="P21" s="14" t="s">
        <v>19</v>
      </c>
      <c r="Q21" s="14" t="s">
        <v>19</v>
      </c>
      <c r="R21" s="6" t="s">
        <v>19</v>
      </c>
      <c r="S21" s="6" t="s">
        <v>19</v>
      </c>
      <c r="T21" s="6" t="s">
        <v>19</v>
      </c>
      <c r="U21" s="6" t="s">
        <v>19</v>
      </c>
      <c r="V21" s="14" t="s">
        <v>19</v>
      </c>
      <c r="W21" s="14" t="s">
        <v>19</v>
      </c>
      <c r="X21" s="6" t="s">
        <v>19</v>
      </c>
      <c r="Y21" s="6" t="s">
        <v>19</v>
      </c>
    </row>
    <row r="22" spans="1:25" ht="15.75" x14ac:dyDescent="0.25">
      <c r="A22" s="3" t="s">
        <v>20</v>
      </c>
      <c r="B22" s="6" t="s">
        <v>17</v>
      </c>
      <c r="C22" s="5">
        <f>5/5</f>
        <v>1</v>
      </c>
      <c r="D22" s="14" t="s">
        <v>208</v>
      </c>
      <c r="E22" s="15">
        <f>0/5</f>
        <v>0</v>
      </c>
      <c r="F22" s="6" t="s">
        <v>208</v>
      </c>
      <c r="G22" s="5">
        <f>5/5</f>
        <v>1</v>
      </c>
      <c r="H22" s="6" t="s">
        <v>224</v>
      </c>
      <c r="I22" s="5">
        <f>5/11</f>
        <v>0.45454545454545453</v>
      </c>
      <c r="J22" s="14" t="s">
        <v>18</v>
      </c>
      <c r="K22" s="14" t="s">
        <v>19</v>
      </c>
      <c r="L22" s="6" t="s">
        <v>23</v>
      </c>
      <c r="M22" s="5">
        <f>0/1</f>
        <v>0</v>
      </c>
      <c r="N22" s="6" t="s">
        <v>19</v>
      </c>
      <c r="O22" s="6" t="s">
        <v>19</v>
      </c>
      <c r="P22" s="14" t="s">
        <v>19</v>
      </c>
      <c r="Q22" s="14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14" t="s">
        <v>19</v>
      </c>
      <c r="W22" s="14" t="s">
        <v>19</v>
      </c>
      <c r="X22" s="6" t="s">
        <v>19</v>
      </c>
      <c r="Y22" s="6" t="s">
        <v>19</v>
      </c>
    </row>
    <row r="23" spans="1:25" ht="15.75" x14ac:dyDescent="0.25">
      <c r="A23" s="3" t="s">
        <v>26</v>
      </c>
      <c r="B23" s="6" t="s">
        <v>215</v>
      </c>
      <c r="C23" s="5">
        <f>0/3</f>
        <v>0</v>
      </c>
      <c r="D23" s="6" t="s">
        <v>215</v>
      </c>
      <c r="E23" s="5">
        <f>0/3</f>
        <v>0</v>
      </c>
      <c r="F23" s="6" t="s">
        <v>123</v>
      </c>
      <c r="G23" s="5">
        <f>3/3</f>
        <v>1</v>
      </c>
      <c r="H23" s="6" t="s">
        <v>18</v>
      </c>
      <c r="I23" s="6" t="s">
        <v>19</v>
      </c>
      <c r="J23" s="14" t="s">
        <v>18</v>
      </c>
      <c r="K23" s="14" t="s">
        <v>19</v>
      </c>
      <c r="L23" s="6" t="s">
        <v>453</v>
      </c>
      <c r="M23" s="5">
        <f>3/4</f>
        <v>0.75</v>
      </c>
      <c r="N23" s="6" t="s">
        <v>215</v>
      </c>
      <c r="O23" s="5">
        <f>0/3</f>
        <v>0</v>
      </c>
      <c r="P23" s="6" t="s">
        <v>215</v>
      </c>
      <c r="Q23" s="5">
        <f>0/3</f>
        <v>0</v>
      </c>
      <c r="R23" s="6" t="s">
        <v>123</v>
      </c>
      <c r="S23" s="5">
        <f>3/3</f>
        <v>1</v>
      </c>
      <c r="T23" s="6" t="s">
        <v>18</v>
      </c>
      <c r="U23" s="6" t="s">
        <v>19</v>
      </c>
      <c r="V23" s="14" t="s">
        <v>18</v>
      </c>
      <c r="W23" s="14" t="s">
        <v>19</v>
      </c>
      <c r="X23" s="6" t="s">
        <v>54</v>
      </c>
      <c r="Y23" s="5">
        <f>3/10</f>
        <v>0.3</v>
      </c>
    </row>
    <row r="24" spans="1:25" ht="15.75" x14ac:dyDescent="0.25">
      <c r="A24" s="3" t="s">
        <v>27</v>
      </c>
      <c r="B24" s="6" t="s">
        <v>512</v>
      </c>
      <c r="C24" s="5">
        <f>108/108</f>
        <v>1</v>
      </c>
      <c r="D24" s="14" t="s">
        <v>344</v>
      </c>
      <c r="E24" s="15">
        <f>22/108</f>
        <v>0.20370370370370369</v>
      </c>
      <c r="F24" s="6" t="s">
        <v>513</v>
      </c>
      <c r="G24" s="5">
        <f>53/108</f>
        <v>0.49074074074074076</v>
      </c>
      <c r="H24" s="6" t="s">
        <v>514</v>
      </c>
      <c r="I24" s="5">
        <f>108/109</f>
        <v>0.99082568807339455</v>
      </c>
      <c r="J24" s="14" t="s">
        <v>458</v>
      </c>
      <c r="K24" s="15">
        <f>22/24</f>
        <v>0.91666666666666663</v>
      </c>
      <c r="L24" s="6" t="s">
        <v>515</v>
      </c>
      <c r="M24" s="5">
        <f>53/104</f>
        <v>0.50961538461538458</v>
      </c>
      <c r="N24" s="6" t="s">
        <v>516</v>
      </c>
      <c r="O24" s="5">
        <f>71/95</f>
        <v>0.74736842105263157</v>
      </c>
      <c r="P24" s="14" t="s">
        <v>517</v>
      </c>
      <c r="Q24" s="15">
        <f>19/95</f>
        <v>0.2</v>
      </c>
      <c r="R24" s="6" t="s">
        <v>518</v>
      </c>
      <c r="S24" s="5">
        <f>62/95</f>
        <v>0.65263157894736845</v>
      </c>
      <c r="T24" s="6" t="s">
        <v>519</v>
      </c>
      <c r="U24" s="5">
        <f>71/73</f>
        <v>0.9726027397260274</v>
      </c>
      <c r="V24" s="14" t="s">
        <v>520</v>
      </c>
      <c r="W24" s="15">
        <f>19/36</f>
        <v>0.52777777777777779</v>
      </c>
      <c r="X24" s="6" t="s">
        <v>521</v>
      </c>
      <c r="Y24" s="5">
        <f>62/204</f>
        <v>0.30392156862745096</v>
      </c>
    </row>
    <row r="25" spans="1:25" ht="15.75" x14ac:dyDescent="0.25">
      <c r="A25" s="3" t="s">
        <v>36</v>
      </c>
      <c r="B25" s="6" t="s">
        <v>522</v>
      </c>
      <c r="C25" s="5">
        <f>29/32</f>
        <v>0.90625</v>
      </c>
      <c r="D25" s="14" t="s">
        <v>523</v>
      </c>
      <c r="E25" s="15">
        <f>0/32</f>
        <v>0</v>
      </c>
      <c r="F25" s="6" t="s">
        <v>524</v>
      </c>
      <c r="G25" s="5">
        <f>30/32</f>
        <v>0.9375</v>
      </c>
      <c r="H25" s="6" t="s">
        <v>525</v>
      </c>
      <c r="I25" s="5">
        <f>29/29</f>
        <v>1</v>
      </c>
      <c r="J25" s="14" t="s">
        <v>18</v>
      </c>
      <c r="K25" s="14" t="s">
        <v>19</v>
      </c>
      <c r="L25" s="6" t="s">
        <v>526</v>
      </c>
      <c r="M25" s="5">
        <f>30/42</f>
        <v>0.7142857142857143</v>
      </c>
      <c r="N25" s="6" t="s">
        <v>527</v>
      </c>
      <c r="O25" s="5">
        <f>22/30</f>
        <v>0.73333333333333328</v>
      </c>
      <c r="P25" s="14" t="s">
        <v>528</v>
      </c>
      <c r="Q25" s="15">
        <f>0/30</f>
        <v>0</v>
      </c>
      <c r="R25" s="6" t="s">
        <v>529</v>
      </c>
      <c r="S25" s="5">
        <f>24/30</f>
        <v>0.8</v>
      </c>
      <c r="T25" s="6" t="s">
        <v>251</v>
      </c>
      <c r="U25" s="5">
        <f>22/25</f>
        <v>0.88</v>
      </c>
      <c r="V25" s="14" t="s">
        <v>18</v>
      </c>
      <c r="W25" s="14" t="s">
        <v>19</v>
      </c>
      <c r="X25" s="6" t="s">
        <v>530</v>
      </c>
      <c r="Y25" s="5">
        <f>24/72</f>
        <v>0.33333333333333331</v>
      </c>
    </row>
    <row r="26" spans="1:25" ht="15.75" x14ac:dyDescent="0.25">
      <c r="A26" s="3" t="s">
        <v>43</v>
      </c>
      <c r="B26" s="6" t="s">
        <v>531</v>
      </c>
      <c r="C26" s="5">
        <f>186/192</f>
        <v>0.96875</v>
      </c>
      <c r="D26" s="14" t="s">
        <v>532</v>
      </c>
      <c r="E26" s="15">
        <f>89/192</f>
        <v>0.46354166666666669</v>
      </c>
      <c r="F26" s="6" t="s">
        <v>533</v>
      </c>
      <c r="G26" s="5">
        <f>182/192</f>
        <v>0.94791666666666663</v>
      </c>
      <c r="H26" s="6" t="s">
        <v>534</v>
      </c>
      <c r="I26" s="5">
        <f>186/200</f>
        <v>0.93</v>
      </c>
      <c r="J26" s="14" t="s">
        <v>535</v>
      </c>
      <c r="K26" s="15">
        <f>89/90</f>
        <v>0.98888888888888893</v>
      </c>
      <c r="L26" s="6" t="s">
        <v>536</v>
      </c>
      <c r="M26" s="5">
        <f>182/220</f>
        <v>0.82727272727272727</v>
      </c>
      <c r="N26" s="6" t="s">
        <v>537</v>
      </c>
      <c r="O26" s="5">
        <f>651/862</f>
        <v>0.75522041763341063</v>
      </c>
      <c r="P26" s="14" t="s">
        <v>538</v>
      </c>
      <c r="Q26" s="15">
        <f>105/862</f>
        <v>0.12180974477958237</v>
      </c>
      <c r="R26" s="6" t="s">
        <v>539</v>
      </c>
      <c r="S26" s="5">
        <f>588/862</f>
        <v>0.68213457076566131</v>
      </c>
      <c r="T26" s="6" t="s">
        <v>540</v>
      </c>
      <c r="U26" s="5">
        <f>651/673</f>
        <v>0.96731054977711739</v>
      </c>
      <c r="V26" s="14" t="s">
        <v>541</v>
      </c>
      <c r="W26" s="15">
        <f>105/107</f>
        <v>0.98130841121495327</v>
      </c>
      <c r="X26" s="6" t="s">
        <v>542</v>
      </c>
      <c r="Y26" s="5">
        <f>588/709</f>
        <v>0.82933709449929482</v>
      </c>
    </row>
    <row r="27" spans="1:25" ht="15.75" x14ac:dyDescent="0.25">
      <c r="A27" s="3" t="s">
        <v>52</v>
      </c>
      <c r="B27" s="6" t="s">
        <v>362</v>
      </c>
      <c r="C27" s="5">
        <f>33/35</f>
        <v>0.94285714285714284</v>
      </c>
      <c r="D27" s="14" t="s">
        <v>543</v>
      </c>
      <c r="E27" s="15">
        <f>0/35</f>
        <v>0</v>
      </c>
      <c r="F27" s="6" t="s">
        <v>544</v>
      </c>
      <c r="G27" s="5">
        <f>10/35</f>
        <v>0.2857142857142857</v>
      </c>
      <c r="H27" s="6" t="s">
        <v>86</v>
      </c>
      <c r="I27" s="5">
        <f>33/34</f>
        <v>0.97058823529411764</v>
      </c>
      <c r="J27" s="14" t="s">
        <v>18</v>
      </c>
      <c r="K27" s="14" t="s">
        <v>19</v>
      </c>
      <c r="L27" s="6" t="s">
        <v>81</v>
      </c>
      <c r="M27" s="5">
        <f>10/33</f>
        <v>0.30303030303030304</v>
      </c>
      <c r="N27" s="6" t="s">
        <v>19</v>
      </c>
      <c r="O27" s="5" t="s">
        <v>19</v>
      </c>
      <c r="P27" s="14" t="s">
        <v>19</v>
      </c>
      <c r="Q27" s="15" t="s">
        <v>19</v>
      </c>
      <c r="R27" s="6" t="s">
        <v>19</v>
      </c>
      <c r="S27" s="5" t="s">
        <v>19</v>
      </c>
      <c r="T27" s="6" t="s">
        <v>19</v>
      </c>
      <c r="U27" s="5" t="s">
        <v>19</v>
      </c>
      <c r="V27" s="14" t="s">
        <v>19</v>
      </c>
      <c r="W27" s="15" t="s">
        <v>19</v>
      </c>
      <c r="X27" s="6" t="s">
        <v>19</v>
      </c>
      <c r="Y27" s="5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6" t="s">
        <v>545</v>
      </c>
      <c r="C29" s="5">
        <f>389/404</f>
        <v>0.96287128712871284</v>
      </c>
      <c r="D29" s="14" t="s">
        <v>546</v>
      </c>
      <c r="E29" s="15">
        <f>111/404</f>
        <v>0.27475247524752477</v>
      </c>
      <c r="F29" s="6" t="s">
        <v>547</v>
      </c>
      <c r="G29" s="5">
        <f>283/404</f>
        <v>0.70049504950495045</v>
      </c>
      <c r="H29" s="6" t="s">
        <v>548</v>
      </c>
      <c r="I29" s="5">
        <f>389/413</f>
        <v>0.9418886198547215</v>
      </c>
      <c r="J29" s="14" t="s">
        <v>549</v>
      </c>
      <c r="K29" s="15">
        <f>111/114</f>
        <v>0.97368421052631582</v>
      </c>
      <c r="L29" s="6" t="s">
        <v>550</v>
      </c>
      <c r="M29" s="5">
        <f>283/409</f>
        <v>0.69193154034229831</v>
      </c>
      <c r="N29" s="6" t="s">
        <v>551</v>
      </c>
      <c r="O29" s="5">
        <f>744/990</f>
        <v>0.75151515151515147</v>
      </c>
      <c r="P29" s="14" t="s">
        <v>552</v>
      </c>
      <c r="Q29" s="15">
        <f>124/990</f>
        <v>0.12525252525252525</v>
      </c>
      <c r="R29" s="6" t="s">
        <v>553</v>
      </c>
      <c r="S29" s="5">
        <f>677/990</f>
        <v>0.6838383838383838</v>
      </c>
      <c r="T29" s="6" t="s">
        <v>554</v>
      </c>
      <c r="U29" s="5">
        <f>744/771</f>
        <v>0.96498054474708173</v>
      </c>
      <c r="V29" s="14" t="s">
        <v>555</v>
      </c>
      <c r="W29" s="15">
        <f>124/143</f>
        <v>0.86713286713286708</v>
      </c>
      <c r="X29" s="6" t="s">
        <v>556</v>
      </c>
      <c r="Y29" s="5">
        <f>677/995</f>
        <v>0.68040201005025125</v>
      </c>
    </row>
    <row r="30" spans="1:25" ht="15.75" x14ac:dyDescent="0.25">
      <c r="A30" s="3" t="s">
        <v>65</v>
      </c>
      <c r="B30" s="6" t="s">
        <v>557</v>
      </c>
      <c r="C30" s="5">
        <f>203/212</f>
        <v>0.95754716981132071</v>
      </c>
      <c r="D30" s="14" t="s">
        <v>558</v>
      </c>
      <c r="E30" s="15">
        <f>22/212</f>
        <v>0.10377358490566038</v>
      </c>
      <c r="F30" s="6" t="s">
        <v>559</v>
      </c>
      <c r="G30" s="5">
        <f>101/212</f>
        <v>0.47641509433962265</v>
      </c>
      <c r="H30" s="6" t="s">
        <v>560</v>
      </c>
      <c r="I30" s="5">
        <f>203/213</f>
        <v>0.95305164319248825</v>
      </c>
      <c r="J30" s="14" t="s">
        <v>458</v>
      </c>
      <c r="K30" s="15">
        <f>22/24</f>
        <v>0.91666666666666663</v>
      </c>
      <c r="L30" s="6" t="s">
        <v>561</v>
      </c>
      <c r="M30" s="5">
        <f>101/189</f>
        <v>0.53439153439153442</v>
      </c>
      <c r="N30" s="6" t="s">
        <v>562</v>
      </c>
      <c r="O30" s="5">
        <f>93/128</f>
        <v>0.7265625</v>
      </c>
      <c r="P30" s="14" t="s">
        <v>563</v>
      </c>
      <c r="Q30" s="15">
        <f>19/128</f>
        <v>0.1484375</v>
      </c>
      <c r="R30" s="6" t="s">
        <v>564</v>
      </c>
      <c r="S30" s="5">
        <f>89/128</f>
        <v>0.6953125</v>
      </c>
      <c r="T30" s="6" t="s">
        <v>565</v>
      </c>
      <c r="U30" s="5">
        <f>93/98</f>
        <v>0.94897959183673475</v>
      </c>
      <c r="V30" s="14" t="s">
        <v>520</v>
      </c>
      <c r="W30" s="15">
        <f>19/36</f>
        <v>0.52777777777777779</v>
      </c>
      <c r="X30" s="6" t="s">
        <v>566</v>
      </c>
      <c r="Y30" s="5">
        <f>89/286</f>
        <v>0.3111888111888112</v>
      </c>
    </row>
  </sheetData>
  <mergeCells count="24">
    <mergeCell ref="N18:O18"/>
    <mergeCell ref="P18:Q18"/>
    <mergeCell ref="R18:S18"/>
    <mergeCell ref="T18:U18"/>
    <mergeCell ref="V18:W18"/>
    <mergeCell ref="X18:Y18"/>
    <mergeCell ref="B18:C18"/>
    <mergeCell ref="D18:E18"/>
    <mergeCell ref="F18:G18"/>
    <mergeCell ref="H18:I18"/>
    <mergeCell ref="J18:K18"/>
    <mergeCell ref="L18:M18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/>
  </sheetViews>
  <sheetFormatPr defaultColWidth="9.140625" defaultRowHeight="15" x14ac:dyDescent="0.25"/>
  <cols>
    <col min="1" max="1" width="12.7109375" style="2" customWidth="1"/>
    <col min="2" max="22" width="12.85546875" style="2" customWidth="1"/>
    <col min="23" max="23" width="13" style="2" customWidth="1"/>
    <col min="24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6" t="s">
        <v>108</v>
      </c>
      <c r="E2" s="26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5"/>
      <c r="E3" s="5"/>
      <c r="F3" s="4"/>
      <c r="G3" s="5"/>
      <c r="H3" s="4"/>
      <c r="I3" s="5"/>
      <c r="J3" s="5"/>
      <c r="K3" s="5"/>
      <c r="L3" s="4"/>
      <c r="M3" s="5"/>
      <c r="N3" s="4"/>
      <c r="O3" s="5"/>
      <c r="P3" s="5"/>
      <c r="Q3" s="5"/>
      <c r="R3" s="4"/>
      <c r="S3" s="5"/>
      <c r="T3" s="4"/>
      <c r="U3" s="5"/>
      <c r="V3" s="5"/>
      <c r="W3" s="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5"/>
      <c r="E4" s="5"/>
      <c r="F4" s="4"/>
      <c r="G4" s="5"/>
      <c r="H4" s="4"/>
      <c r="I4" s="5"/>
      <c r="J4" s="5"/>
      <c r="K4" s="5"/>
      <c r="L4" s="4"/>
      <c r="M4" s="5"/>
      <c r="N4" s="4"/>
      <c r="O4" s="5"/>
      <c r="P4" s="5"/>
      <c r="Q4" s="5"/>
      <c r="R4" s="4"/>
      <c r="S4" s="5"/>
      <c r="T4" s="4"/>
      <c r="U4" s="5"/>
      <c r="V4" s="5"/>
      <c r="W4" s="5"/>
      <c r="X4" s="4"/>
      <c r="Y4" s="5"/>
    </row>
    <row r="5" spans="1:25" ht="15.75" x14ac:dyDescent="0.25">
      <c r="A5" s="3" t="s">
        <v>12</v>
      </c>
      <c r="B5" s="6" t="s">
        <v>13</v>
      </c>
      <c r="C5" s="6" t="s">
        <v>14</v>
      </c>
      <c r="D5" s="14" t="s">
        <v>15</v>
      </c>
      <c r="E5" s="14" t="s">
        <v>16</v>
      </c>
      <c r="F5" s="6" t="s">
        <v>15</v>
      </c>
      <c r="G5" s="6" t="s">
        <v>16</v>
      </c>
      <c r="H5" s="6" t="s">
        <v>17</v>
      </c>
      <c r="I5" s="6" t="s">
        <v>16</v>
      </c>
      <c r="J5" s="14" t="s">
        <v>18</v>
      </c>
      <c r="K5" s="14" t="s">
        <v>19</v>
      </c>
      <c r="L5" s="6" t="s">
        <v>18</v>
      </c>
      <c r="M5" s="6" t="s">
        <v>19</v>
      </c>
      <c r="N5" s="6" t="s">
        <v>19</v>
      </c>
      <c r="O5" s="6" t="s">
        <v>19</v>
      </c>
      <c r="P5" s="14" t="s">
        <v>19</v>
      </c>
      <c r="Q5" s="14" t="s">
        <v>19</v>
      </c>
      <c r="R5" s="6" t="s">
        <v>19</v>
      </c>
      <c r="S5" s="6" t="s">
        <v>19</v>
      </c>
      <c r="T5" s="6" t="s">
        <v>19</v>
      </c>
      <c r="U5" s="6" t="s">
        <v>19</v>
      </c>
      <c r="V5" s="14" t="s">
        <v>19</v>
      </c>
      <c r="W5" s="14" t="s">
        <v>19</v>
      </c>
      <c r="X5" s="6" t="s">
        <v>19</v>
      </c>
      <c r="Y5" s="6" t="s">
        <v>19</v>
      </c>
    </row>
    <row r="6" spans="1:25" ht="15.75" x14ac:dyDescent="0.25">
      <c r="A6" s="3" t="s">
        <v>20</v>
      </c>
      <c r="B6" s="6" t="s">
        <v>21</v>
      </c>
      <c r="C6" s="6" t="s">
        <v>22</v>
      </c>
      <c r="D6" s="14" t="s">
        <v>23</v>
      </c>
      <c r="E6" s="14" t="s">
        <v>16</v>
      </c>
      <c r="F6" s="6" t="s">
        <v>23</v>
      </c>
      <c r="G6" s="6" t="s">
        <v>16</v>
      </c>
      <c r="H6" s="6" t="s">
        <v>24</v>
      </c>
      <c r="I6" s="6" t="s">
        <v>25</v>
      </c>
      <c r="J6" s="14" t="s">
        <v>18</v>
      </c>
      <c r="K6" s="14" t="s">
        <v>19</v>
      </c>
      <c r="L6" s="6" t="s">
        <v>18</v>
      </c>
      <c r="M6" s="6" t="s">
        <v>19</v>
      </c>
      <c r="N6" s="6" t="s">
        <v>19</v>
      </c>
      <c r="O6" s="6" t="s">
        <v>19</v>
      </c>
      <c r="P6" s="14" t="s">
        <v>19</v>
      </c>
      <c r="Q6" s="14" t="s">
        <v>19</v>
      </c>
      <c r="R6" s="6" t="s">
        <v>19</v>
      </c>
      <c r="S6" s="6" t="s">
        <v>19</v>
      </c>
      <c r="T6" s="6" t="s">
        <v>19</v>
      </c>
      <c r="U6" s="6" t="s">
        <v>19</v>
      </c>
      <c r="V6" s="14" t="s">
        <v>19</v>
      </c>
      <c r="W6" s="14" t="s">
        <v>19</v>
      </c>
      <c r="X6" s="6" t="s">
        <v>19</v>
      </c>
      <c r="Y6" s="6" t="s">
        <v>19</v>
      </c>
    </row>
    <row r="7" spans="1:25" ht="15.75" x14ac:dyDescent="0.25">
      <c r="A7" s="3" t="s">
        <v>26</v>
      </c>
      <c r="B7" s="6" t="s">
        <v>18</v>
      </c>
      <c r="C7" s="6" t="s">
        <v>19</v>
      </c>
      <c r="D7" s="14" t="s">
        <v>18</v>
      </c>
      <c r="E7" s="14" t="s">
        <v>19</v>
      </c>
      <c r="F7" s="6" t="s">
        <v>18</v>
      </c>
      <c r="G7" s="6" t="s">
        <v>19</v>
      </c>
      <c r="H7" s="6" t="s">
        <v>18</v>
      </c>
      <c r="I7" s="6" t="s">
        <v>19</v>
      </c>
      <c r="J7" s="14" t="s">
        <v>18</v>
      </c>
      <c r="K7" s="14" t="s">
        <v>19</v>
      </c>
      <c r="L7" s="6" t="s">
        <v>18</v>
      </c>
      <c r="M7" s="6" t="s">
        <v>19</v>
      </c>
      <c r="N7" s="6" t="s">
        <v>18</v>
      </c>
      <c r="O7" s="6" t="s">
        <v>19</v>
      </c>
      <c r="P7" s="14" t="s">
        <v>18</v>
      </c>
      <c r="Q7" s="14" t="s">
        <v>19</v>
      </c>
      <c r="R7" s="6" t="s">
        <v>18</v>
      </c>
      <c r="S7" s="6" t="s">
        <v>19</v>
      </c>
      <c r="T7" s="6" t="s">
        <v>18</v>
      </c>
      <c r="U7" s="6" t="s">
        <v>19</v>
      </c>
      <c r="V7" s="14" t="s">
        <v>18</v>
      </c>
      <c r="W7" s="14" t="s">
        <v>19</v>
      </c>
      <c r="X7" s="6" t="s">
        <v>18</v>
      </c>
      <c r="Y7" s="6" t="s">
        <v>19</v>
      </c>
    </row>
    <row r="8" spans="1:25" ht="15.75" x14ac:dyDescent="0.25">
      <c r="A8" s="3" t="s">
        <v>27</v>
      </c>
      <c r="B8" s="6" t="s">
        <v>28</v>
      </c>
      <c r="C8" s="5">
        <f>27/29</f>
        <v>0.93103448275862066</v>
      </c>
      <c r="D8" s="14" t="s">
        <v>112</v>
      </c>
      <c r="E8" s="15">
        <f>3/29</f>
        <v>0.10344827586206896</v>
      </c>
      <c r="F8" s="6" t="s">
        <v>29</v>
      </c>
      <c r="G8" s="5">
        <f>10/29</f>
        <v>0.34482758620689657</v>
      </c>
      <c r="H8" s="6" t="s">
        <v>30</v>
      </c>
      <c r="I8" s="5">
        <f>27/27</f>
        <v>1</v>
      </c>
      <c r="J8" s="14" t="s">
        <v>123</v>
      </c>
      <c r="K8" s="15">
        <f>3/3</f>
        <v>1</v>
      </c>
      <c r="L8" s="6" t="s">
        <v>31</v>
      </c>
      <c r="M8" s="5">
        <f>10/20</f>
        <v>0.5</v>
      </c>
      <c r="N8" s="6" t="s">
        <v>32</v>
      </c>
      <c r="O8" s="5">
        <f>15/20</f>
        <v>0.75</v>
      </c>
      <c r="P8" s="14" t="s">
        <v>118</v>
      </c>
      <c r="Q8" s="15">
        <f>3/20</f>
        <v>0.15</v>
      </c>
      <c r="R8" s="6" t="s">
        <v>33</v>
      </c>
      <c r="S8" s="5">
        <f>11/20</f>
        <v>0.55000000000000004</v>
      </c>
      <c r="T8" s="6" t="s">
        <v>34</v>
      </c>
      <c r="U8" s="5">
        <f>15/16</f>
        <v>0.9375</v>
      </c>
      <c r="V8" s="14" t="s">
        <v>123</v>
      </c>
      <c r="W8" s="15">
        <f>3/3</f>
        <v>1</v>
      </c>
      <c r="X8" s="6" t="s">
        <v>35</v>
      </c>
      <c r="Y8" s="5">
        <f>11/34</f>
        <v>0.3235294117647059</v>
      </c>
    </row>
    <row r="9" spans="1:25" ht="15.75" x14ac:dyDescent="0.25">
      <c r="A9" s="3" t="s">
        <v>36</v>
      </c>
      <c r="B9" s="6" t="s">
        <v>37</v>
      </c>
      <c r="C9" s="5">
        <f>8/8</f>
        <v>1</v>
      </c>
      <c r="D9" s="14" t="s">
        <v>113</v>
      </c>
      <c r="E9" s="15">
        <f>0/8</f>
        <v>0</v>
      </c>
      <c r="F9" s="6" t="s">
        <v>38</v>
      </c>
      <c r="G9" s="5">
        <f>7/8</f>
        <v>0.875</v>
      </c>
      <c r="H9" s="6" t="s">
        <v>37</v>
      </c>
      <c r="I9" s="5">
        <f>8/8</f>
        <v>1</v>
      </c>
      <c r="J9" s="14" t="s">
        <v>18</v>
      </c>
      <c r="K9" s="14" t="s">
        <v>19</v>
      </c>
      <c r="L9" s="6" t="s">
        <v>39</v>
      </c>
      <c r="M9" s="5">
        <f>7/9</f>
        <v>0.77777777777777779</v>
      </c>
      <c r="N9" s="6" t="s">
        <v>40</v>
      </c>
      <c r="O9" s="5">
        <f>6/7</f>
        <v>0.8571428571428571</v>
      </c>
      <c r="P9" s="14" t="s">
        <v>119</v>
      </c>
      <c r="Q9" s="15">
        <f>0/7</f>
        <v>0</v>
      </c>
      <c r="R9" s="6" t="s">
        <v>40</v>
      </c>
      <c r="S9" s="5">
        <f>6/7</f>
        <v>0.8571428571428571</v>
      </c>
      <c r="T9" s="6" t="s">
        <v>41</v>
      </c>
      <c r="U9" s="5">
        <f>6/6</f>
        <v>1</v>
      </c>
      <c r="V9" s="14" t="s">
        <v>18</v>
      </c>
      <c r="W9" s="14" t="s">
        <v>19</v>
      </c>
      <c r="X9" s="6" t="s">
        <v>42</v>
      </c>
      <c r="Y9" s="5">
        <f>6/14</f>
        <v>0.42857142857142855</v>
      </c>
    </row>
    <row r="10" spans="1:25" ht="15.75" x14ac:dyDescent="0.25">
      <c r="A10" s="3" t="s">
        <v>43</v>
      </c>
      <c r="B10" s="6" t="s">
        <v>44</v>
      </c>
      <c r="C10" s="5">
        <f>44/44</f>
        <v>1</v>
      </c>
      <c r="D10" s="14" t="s">
        <v>114</v>
      </c>
      <c r="E10" s="15">
        <f>15/44</f>
        <v>0.34090909090909088</v>
      </c>
      <c r="F10" s="6" t="s">
        <v>45</v>
      </c>
      <c r="G10" s="5">
        <f>41/44</f>
        <v>0.93181818181818177</v>
      </c>
      <c r="H10" s="6" t="s">
        <v>46</v>
      </c>
      <c r="I10" s="5">
        <f>44/46</f>
        <v>0.95652173913043481</v>
      </c>
      <c r="J10" s="14" t="s">
        <v>124</v>
      </c>
      <c r="K10" s="15">
        <f>15/15</f>
        <v>1</v>
      </c>
      <c r="L10" s="6" t="s">
        <v>47</v>
      </c>
      <c r="M10" s="5">
        <f>41/49</f>
        <v>0.83673469387755106</v>
      </c>
      <c r="N10" s="6" t="s">
        <v>48</v>
      </c>
      <c r="O10" s="5">
        <f>142/179</f>
        <v>0.79329608938547491</v>
      </c>
      <c r="P10" s="14" t="s">
        <v>129</v>
      </c>
      <c r="Q10" s="15">
        <f>15/179</f>
        <v>8.3798882681564241E-2</v>
      </c>
      <c r="R10" s="6" t="s">
        <v>49</v>
      </c>
      <c r="S10" s="5">
        <f>116/179</f>
        <v>0.64804469273743015</v>
      </c>
      <c r="T10" s="6" t="s">
        <v>50</v>
      </c>
      <c r="U10" s="5">
        <f>142/148</f>
        <v>0.95945945945945943</v>
      </c>
      <c r="V10" s="14" t="s">
        <v>124</v>
      </c>
      <c r="W10" s="15">
        <f>15/15</f>
        <v>1</v>
      </c>
      <c r="X10" s="6" t="s">
        <v>51</v>
      </c>
      <c r="Y10" s="5">
        <f>116/133</f>
        <v>0.8721804511278195</v>
      </c>
    </row>
    <row r="11" spans="1:25" ht="15.75" x14ac:dyDescent="0.25">
      <c r="A11" s="3" t="s">
        <v>52</v>
      </c>
      <c r="B11" s="6" t="s">
        <v>53</v>
      </c>
      <c r="C11" s="5">
        <f>9/10</f>
        <v>0.9</v>
      </c>
      <c r="D11" s="14" t="s">
        <v>115</v>
      </c>
      <c r="E11" s="15">
        <f>3/10</f>
        <v>0.3</v>
      </c>
      <c r="F11" s="6" t="s">
        <v>54</v>
      </c>
      <c r="G11" s="5">
        <f>3/10</f>
        <v>0.3</v>
      </c>
      <c r="H11" s="6" t="s">
        <v>55</v>
      </c>
      <c r="I11" s="5">
        <f>9/9</f>
        <v>1</v>
      </c>
      <c r="J11" s="14" t="s">
        <v>18</v>
      </c>
      <c r="K11" s="14" t="s">
        <v>19</v>
      </c>
      <c r="L11" s="6" t="s">
        <v>56</v>
      </c>
      <c r="M11" s="5">
        <f>3/7</f>
        <v>0.42857142857142855</v>
      </c>
      <c r="N11" s="6" t="s">
        <v>19</v>
      </c>
      <c r="O11" s="5" t="s">
        <v>19</v>
      </c>
      <c r="P11" s="14" t="s">
        <v>19</v>
      </c>
      <c r="Q11" s="15" t="s">
        <v>19</v>
      </c>
      <c r="R11" s="6" t="s">
        <v>19</v>
      </c>
      <c r="S11" s="5" t="s">
        <v>19</v>
      </c>
      <c r="T11" s="6" t="s">
        <v>19</v>
      </c>
      <c r="U11" s="5" t="s">
        <v>19</v>
      </c>
      <c r="V11" s="14" t="s">
        <v>19</v>
      </c>
      <c r="W11" s="15" t="s">
        <v>19</v>
      </c>
      <c r="X11" s="6" t="s">
        <v>19</v>
      </c>
      <c r="Y11" s="5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6" t="s">
        <v>58</v>
      </c>
      <c r="C13" s="5">
        <f>94/98</f>
        <v>0.95918367346938771</v>
      </c>
      <c r="D13" s="14" t="s">
        <v>116</v>
      </c>
      <c r="E13" s="15">
        <f>18/98</f>
        <v>0.18367346938775511</v>
      </c>
      <c r="F13" s="6" t="s">
        <v>59</v>
      </c>
      <c r="G13" s="5">
        <f>61/98</f>
        <v>0.62244897959183676</v>
      </c>
      <c r="H13" s="6" t="s">
        <v>58</v>
      </c>
      <c r="I13" s="5">
        <f>94/98</f>
        <v>0.95918367346938771</v>
      </c>
      <c r="J13" s="14" t="s">
        <v>125</v>
      </c>
      <c r="K13" s="15">
        <f>18/18</f>
        <v>1</v>
      </c>
      <c r="L13" s="6" t="s">
        <v>60</v>
      </c>
      <c r="M13" s="5">
        <f>61/85</f>
        <v>0.71764705882352942</v>
      </c>
      <c r="N13" s="6" t="s">
        <v>61</v>
      </c>
      <c r="O13" s="5">
        <f>163/206</f>
        <v>0.79126213592233008</v>
      </c>
      <c r="P13" s="14" t="s">
        <v>130</v>
      </c>
      <c r="Q13" s="15">
        <f>18/206</f>
        <v>8.7378640776699032E-2</v>
      </c>
      <c r="R13" s="6" t="s">
        <v>62</v>
      </c>
      <c r="S13" s="5">
        <f>133/206</f>
        <v>0.64563106796116509</v>
      </c>
      <c r="T13" s="6" t="s">
        <v>63</v>
      </c>
      <c r="U13" s="5">
        <f>163/170</f>
        <v>0.95882352941176474</v>
      </c>
      <c r="V13" s="14" t="s">
        <v>125</v>
      </c>
      <c r="W13" s="15">
        <f>18/18</f>
        <v>1</v>
      </c>
      <c r="X13" s="6" t="s">
        <v>64</v>
      </c>
      <c r="Y13" s="5">
        <f>133/181</f>
        <v>0.73480662983425415</v>
      </c>
    </row>
    <row r="14" spans="1:25" ht="15.75" x14ac:dyDescent="0.25">
      <c r="A14" s="3" t="s">
        <v>65</v>
      </c>
      <c r="B14" s="6" t="s">
        <v>66</v>
      </c>
      <c r="C14" s="5">
        <f>50/54</f>
        <v>0.92592592592592593</v>
      </c>
      <c r="D14" s="14" t="s">
        <v>117</v>
      </c>
      <c r="E14" s="15">
        <f>3/54</f>
        <v>5.5555555555555552E-2</v>
      </c>
      <c r="F14" s="6" t="s">
        <v>67</v>
      </c>
      <c r="G14" s="5">
        <f>20/54</f>
        <v>0.37037037037037035</v>
      </c>
      <c r="H14" s="6" t="s">
        <v>68</v>
      </c>
      <c r="I14" s="5">
        <f>50/52</f>
        <v>0.96153846153846156</v>
      </c>
      <c r="J14" s="14" t="s">
        <v>123</v>
      </c>
      <c r="K14" s="15">
        <f>3/3</f>
        <v>1</v>
      </c>
      <c r="L14" s="6" t="s">
        <v>69</v>
      </c>
      <c r="M14" s="5">
        <f>20/36</f>
        <v>0.55555555555555558</v>
      </c>
      <c r="N14" s="6" t="s">
        <v>70</v>
      </c>
      <c r="O14" s="5">
        <f>21/27</f>
        <v>0.77777777777777779</v>
      </c>
      <c r="P14" s="14" t="s">
        <v>131</v>
      </c>
      <c r="Q14" s="15">
        <f>3/27</f>
        <v>0.1111111111111111</v>
      </c>
      <c r="R14" s="6" t="s">
        <v>71</v>
      </c>
      <c r="S14" s="5">
        <f>17/27</f>
        <v>0.62962962962962965</v>
      </c>
      <c r="T14" s="6" t="s">
        <v>72</v>
      </c>
      <c r="U14" s="5">
        <f>21/22</f>
        <v>0.95454545454545459</v>
      </c>
      <c r="V14" s="14" t="s">
        <v>123</v>
      </c>
      <c r="W14" s="15">
        <f>3/3</f>
        <v>1</v>
      </c>
      <c r="X14" s="6" t="s">
        <v>73</v>
      </c>
      <c r="Y14" s="5">
        <f>17/48</f>
        <v>0.35416666666666669</v>
      </c>
    </row>
    <row r="15" spans="1:25" ht="15.75" x14ac:dyDescent="0.25">
      <c r="A15" s="3"/>
      <c r="B15" s="9"/>
      <c r="C15" s="10"/>
      <c r="D15" s="10"/>
      <c r="E15" s="10"/>
      <c r="F15" s="9"/>
      <c r="G15" s="10"/>
      <c r="H15" s="9"/>
      <c r="I15" s="10"/>
      <c r="J15" s="10"/>
      <c r="K15" s="10"/>
      <c r="L15" s="9"/>
      <c r="M15" s="10"/>
      <c r="N15" s="9"/>
      <c r="O15" s="10"/>
      <c r="P15" s="10"/>
      <c r="Q15" s="10"/>
      <c r="R15" s="9"/>
      <c r="S15" s="10"/>
      <c r="T15" s="9"/>
      <c r="U15" s="10"/>
      <c r="V15" s="10"/>
      <c r="W15" s="10"/>
      <c r="X15" s="9"/>
      <c r="Y15" s="10"/>
    </row>
    <row r="16" spans="1:25" ht="15.75" x14ac:dyDescent="0.25">
      <c r="A16" s="3"/>
      <c r="X16" s="11"/>
      <c r="Y16" s="12"/>
    </row>
    <row r="17" spans="1:25" ht="18.75" x14ac:dyDescent="0.3">
      <c r="A17" s="1" t="s">
        <v>74</v>
      </c>
      <c r="X17" s="13"/>
    </row>
    <row r="18" spans="1:25" ht="15.75" x14ac:dyDescent="0.25">
      <c r="B18" s="25" t="s">
        <v>1</v>
      </c>
      <c r="C18" s="25"/>
      <c r="D18" s="26" t="s">
        <v>108</v>
      </c>
      <c r="E18" s="26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5"/>
      <c r="E19" s="5"/>
      <c r="F19" s="4"/>
      <c r="G19" s="5"/>
      <c r="H19" s="4"/>
      <c r="I19" s="5"/>
      <c r="J19" s="5"/>
      <c r="K19" s="5"/>
      <c r="L19" s="4"/>
      <c r="M19" s="5"/>
      <c r="N19" s="4"/>
      <c r="O19" s="5"/>
      <c r="P19" s="5"/>
      <c r="Q19" s="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F20" s="4"/>
      <c r="G20" s="5"/>
      <c r="H20" s="4"/>
      <c r="I20" s="5"/>
      <c r="J20" s="5"/>
      <c r="K20" s="5"/>
      <c r="L20" s="4"/>
      <c r="M20" s="5"/>
      <c r="N20" s="4"/>
      <c r="O20" s="5"/>
      <c r="P20" s="5"/>
      <c r="Q20" s="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6" t="s">
        <v>13</v>
      </c>
      <c r="C21" s="6" t="s">
        <v>14</v>
      </c>
      <c r="D21" s="14" t="s">
        <v>18</v>
      </c>
      <c r="E21" s="14" t="s">
        <v>16</v>
      </c>
      <c r="F21" s="6" t="s">
        <v>18</v>
      </c>
      <c r="G21" s="6" t="s">
        <v>16</v>
      </c>
      <c r="H21" s="6" t="s">
        <v>17</v>
      </c>
      <c r="I21" s="6" t="s">
        <v>16</v>
      </c>
      <c r="J21" s="14" t="s">
        <v>18</v>
      </c>
      <c r="K21" s="14" t="s">
        <v>19</v>
      </c>
      <c r="L21" s="6" t="s">
        <v>18</v>
      </c>
      <c r="M21" s="6" t="s">
        <v>19</v>
      </c>
      <c r="N21" s="6" t="s">
        <v>19</v>
      </c>
      <c r="O21" s="6" t="s">
        <v>19</v>
      </c>
      <c r="P21" s="14" t="s">
        <v>19</v>
      </c>
      <c r="Q21" s="14" t="s">
        <v>19</v>
      </c>
      <c r="R21" s="6" t="s">
        <v>19</v>
      </c>
      <c r="S21" s="6" t="s">
        <v>19</v>
      </c>
      <c r="T21" s="6" t="s">
        <v>19</v>
      </c>
      <c r="U21" s="6" t="s">
        <v>19</v>
      </c>
      <c r="V21" s="14" t="s">
        <v>19</v>
      </c>
      <c r="W21" s="14" t="s">
        <v>19</v>
      </c>
      <c r="X21" s="6" t="s">
        <v>19</v>
      </c>
      <c r="Y21" s="6" t="s">
        <v>19</v>
      </c>
    </row>
    <row r="22" spans="1:25" ht="15.75" x14ac:dyDescent="0.25">
      <c r="A22" s="3" t="s">
        <v>20</v>
      </c>
      <c r="B22" s="6" t="s">
        <v>21</v>
      </c>
      <c r="C22" s="6" t="s">
        <v>22</v>
      </c>
      <c r="D22" s="14" t="s">
        <v>23</v>
      </c>
      <c r="E22" s="14" t="s">
        <v>16</v>
      </c>
      <c r="F22" s="6" t="s">
        <v>23</v>
      </c>
      <c r="G22" s="6" t="s">
        <v>16</v>
      </c>
      <c r="H22" s="6" t="s">
        <v>24</v>
      </c>
      <c r="I22" s="6" t="s">
        <v>25</v>
      </c>
      <c r="J22" s="14" t="s">
        <v>18</v>
      </c>
      <c r="K22" s="14">
        <v>0.625</v>
      </c>
      <c r="L22" s="6" t="s">
        <v>18</v>
      </c>
      <c r="M22" s="6">
        <v>0.625</v>
      </c>
      <c r="N22" s="6" t="s">
        <v>19</v>
      </c>
      <c r="O22" s="6" t="s">
        <v>19</v>
      </c>
      <c r="P22" s="14" t="s">
        <v>19</v>
      </c>
      <c r="Q22" s="14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14" t="s">
        <v>19</v>
      </c>
      <c r="W22" s="14" t="s">
        <v>19</v>
      </c>
      <c r="X22" s="6" t="s">
        <v>19</v>
      </c>
      <c r="Y22" s="6" t="s">
        <v>19</v>
      </c>
    </row>
    <row r="23" spans="1:25" ht="15.75" x14ac:dyDescent="0.25">
      <c r="A23" s="3" t="s">
        <v>26</v>
      </c>
      <c r="B23" s="6" t="s">
        <v>18</v>
      </c>
      <c r="C23" s="6" t="s">
        <v>19</v>
      </c>
      <c r="D23" s="14" t="s">
        <v>18</v>
      </c>
      <c r="E23" s="14" t="s">
        <v>19</v>
      </c>
      <c r="F23" s="6" t="s">
        <v>18</v>
      </c>
      <c r="G23" s="6" t="s">
        <v>19</v>
      </c>
      <c r="H23" s="6" t="s">
        <v>18</v>
      </c>
      <c r="I23" s="6" t="s">
        <v>19</v>
      </c>
      <c r="J23" s="14" t="s">
        <v>18</v>
      </c>
      <c r="K23" s="14" t="s">
        <v>19</v>
      </c>
      <c r="L23" s="6" t="s">
        <v>18</v>
      </c>
      <c r="M23" s="6" t="s">
        <v>19</v>
      </c>
      <c r="N23" s="6" t="s">
        <v>18</v>
      </c>
      <c r="O23" s="6" t="s">
        <v>19</v>
      </c>
      <c r="P23" s="14" t="s">
        <v>18</v>
      </c>
      <c r="Q23" s="14" t="s">
        <v>19</v>
      </c>
      <c r="R23" s="6" t="s">
        <v>18</v>
      </c>
      <c r="S23" s="6" t="s">
        <v>19</v>
      </c>
      <c r="T23" s="6" t="s">
        <v>18</v>
      </c>
      <c r="U23" s="6" t="s">
        <v>19</v>
      </c>
      <c r="V23" s="14" t="s">
        <v>18</v>
      </c>
      <c r="W23" s="14" t="s">
        <v>19</v>
      </c>
      <c r="X23" s="6" t="s">
        <v>18</v>
      </c>
      <c r="Y23" s="6" t="s">
        <v>19</v>
      </c>
    </row>
    <row r="24" spans="1:25" ht="15.75" x14ac:dyDescent="0.25">
      <c r="A24" s="3" t="s">
        <v>27</v>
      </c>
      <c r="B24" s="6" t="s">
        <v>75</v>
      </c>
      <c r="C24" s="5">
        <f>20/20</f>
        <v>1</v>
      </c>
      <c r="D24" s="14" t="s">
        <v>118</v>
      </c>
      <c r="E24" s="15">
        <f>3/20</f>
        <v>0.15</v>
      </c>
      <c r="F24" s="6" t="s">
        <v>76</v>
      </c>
      <c r="G24" s="5">
        <f>9/20</f>
        <v>0.45</v>
      </c>
      <c r="H24" s="6" t="s">
        <v>75</v>
      </c>
      <c r="I24" s="5">
        <f>20/20</f>
        <v>1</v>
      </c>
      <c r="J24" s="14" t="s">
        <v>123</v>
      </c>
      <c r="K24" s="15">
        <f>3/3</f>
        <v>1</v>
      </c>
      <c r="L24" s="6" t="s">
        <v>77</v>
      </c>
      <c r="M24" s="5">
        <f>9/19</f>
        <v>0.47368421052631576</v>
      </c>
      <c r="N24" s="6" t="s">
        <v>78</v>
      </c>
      <c r="O24" s="5">
        <f>12/14</f>
        <v>0.8571428571428571</v>
      </c>
      <c r="P24" s="14" t="s">
        <v>126</v>
      </c>
      <c r="Q24" s="15">
        <f>3/14</f>
        <v>0.21428571428571427</v>
      </c>
      <c r="R24" s="6" t="s">
        <v>79</v>
      </c>
      <c r="S24" s="5">
        <f>10/14</f>
        <v>0.7142857142857143</v>
      </c>
      <c r="T24" s="6" t="s">
        <v>80</v>
      </c>
      <c r="U24" s="5">
        <f>12/13</f>
        <v>0.92307692307692313</v>
      </c>
      <c r="V24" s="14" t="s">
        <v>123</v>
      </c>
      <c r="W24" s="15">
        <f>3/3</f>
        <v>1</v>
      </c>
      <c r="X24" s="6" t="s">
        <v>81</v>
      </c>
      <c r="Y24" s="5">
        <f>10/33</f>
        <v>0.30303030303030304</v>
      </c>
    </row>
    <row r="25" spans="1:25" ht="15.75" x14ac:dyDescent="0.25">
      <c r="A25" s="3" t="s">
        <v>36</v>
      </c>
      <c r="B25" s="6" t="s">
        <v>82</v>
      </c>
      <c r="C25" s="5">
        <f>7/7</f>
        <v>1</v>
      </c>
      <c r="D25" s="14" t="s">
        <v>119</v>
      </c>
      <c r="E25" s="15">
        <f>0/7</f>
        <v>0</v>
      </c>
      <c r="F25" s="6" t="s">
        <v>40</v>
      </c>
      <c r="G25" s="5">
        <f>6/7</f>
        <v>0.8571428571428571</v>
      </c>
      <c r="H25" s="6" t="s">
        <v>82</v>
      </c>
      <c r="I25" s="5">
        <f>7/7</f>
        <v>1</v>
      </c>
      <c r="J25" s="14" t="s">
        <v>18</v>
      </c>
      <c r="K25" s="14" t="s">
        <v>19</v>
      </c>
      <c r="L25" s="6" t="s">
        <v>83</v>
      </c>
      <c r="M25" s="5">
        <f>6/8</f>
        <v>0.75</v>
      </c>
      <c r="N25" s="6" t="s">
        <v>41</v>
      </c>
      <c r="O25" s="5">
        <f>6/6</f>
        <v>1</v>
      </c>
      <c r="P25" s="14" t="s">
        <v>15</v>
      </c>
      <c r="Q25" s="15">
        <f>0/6</f>
        <v>0</v>
      </c>
      <c r="R25" s="6" t="s">
        <v>13</v>
      </c>
      <c r="S25" s="5">
        <f>5/6</f>
        <v>0.83333333333333337</v>
      </c>
      <c r="T25" s="6" t="s">
        <v>41</v>
      </c>
      <c r="U25" s="5">
        <f>6/6</f>
        <v>1</v>
      </c>
      <c r="V25" s="14" t="s">
        <v>18</v>
      </c>
      <c r="W25" s="14" t="s">
        <v>19</v>
      </c>
      <c r="X25" s="6" t="s">
        <v>84</v>
      </c>
      <c r="Y25" s="5">
        <f>5/13</f>
        <v>0.38461538461538464</v>
      </c>
    </row>
    <row r="26" spans="1:25" ht="15.75" x14ac:dyDescent="0.25">
      <c r="A26" s="3" t="s">
        <v>43</v>
      </c>
      <c r="B26" s="6" t="s">
        <v>85</v>
      </c>
      <c r="C26" s="5">
        <f>34/34</f>
        <v>1</v>
      </c>
      <c r="D26" s="14" t="s">
        <v>120</v>
      </c>
      <c r="E26" s="15">
        <f>15/34</f>
        <v>0.44117647058823528</v>
      </c>
      <c r="F26" s="6" t="s">
        <v>86</v>
      </c>
      <c r="G26" s="5">
        <f>33/34</f>
        <v>0.97058823529411764</v>
      </c>
      <c r="H26" s="6" t="s">
        <v>87</v>
      </c>
      <c r="I26" s="5">
        <f>34/36</f>
        <v>0.94444444444444442</v>
      </c>
      <c r="J26" s="14" t="s">
        <v>124</v>
      </c>
      <c r="K26" s="15">
        <f>15/15</f>
        <v>1</v>
      </c>
      <c r="L26" s="6" t="s">
        <v>88</v>
      </c>
      <c r="M26" s="5">
        <f>33/37</f>
        <v>0.89189189189189189</v>
      </c>
      <c r="N26" s="6" t="s">
        <v>89</v>
      </c>
      <c r="O26" s="5">
        <f>131/161</f>
        <v>0.81366459627329191</v>
      </c>
      <c r="P26" s="14" t="s">
        <v>127</v>
      </c>
      <c r="Q26" s="15">
        <f>15/161</f>
        <v>9.3167701863354033E-2</v>
      </c>
      <c r="R26" s="6" t="s">
        <v>90</v>
      </c>
      <c r="S26" s="5">
        <f>105/161</f>
        <v>0.65217391304347827</v>
      </c>
      <c r="T26" s="6" t="s">
        <v>91</v>
      </c>
      <c r="U26" s="5">
        <f>131/137</f>
        <v>0.95620437956204385</v>
      </c>
      <c r="V26" s="14" t="s">
        <v>124</v>
      </c>
      <c r="W26" s="15">
        <f>15/15</f>
        <v>1</v>
      </c>
      <c r="X26" s="6" t="s">
        <v>92</v>
      </c>
      <c r="Y26" s="5">
        <f>105/116</f>
        <v>0.90517241379310343</v>
      </c>
    </row>
    <row r="27" spans="1:25" ht="15.75" x14ac:dyDescent="0.25">
      <c r="A27" s="3" t="s">
        <v>52</v>
      </c>
      <c r="B27" s="6" t="s">
        <v>82</v>
      </c>
      <c r="C27" s="5">
        <f>7/7</f>
        <v>1</v>
      </c>
      <c r="D27" s="14" t="s">
        <v>119</v>
      </c>
      <c r="E27" s="15">
        <f>0/7</f>
        <v>0</v>
      </c>
      <c r="F27" s="6" t="s">
        <v>56</v>
      </c>
      <c r="G27" s="5">
        <f>3/7</f>
        <v>0.42857142857142855</v>
      </c>
      <c r="H27" s="6" t="s">
        <v>82</v>
      </c>
      <c r="I27" s="5">
        <f>7/7</f>
        <v>1</v>
      </c>
      <c r="J27" s="14" t="s">
        <v>18</v>
      </c>
      <c r="K27" s="14" t="s">
        <v>19</v>
      </c>
      <c r="L27" s="6" t="s">
        <v>56</v>
      </c>
      <c r="M27" s="5">
        <f>3/7</f>
        <v>0.42857142857142855</v>
      </c>
      <c r="N27" s="6" t="s">
        <v>19</v>
      </c>
      <c r="O27" s="5" t="s">
        <v>19</v>
      </c>
      <c r="P27" s="14" t="s">
        <v>19</v>
      </c>
      <c r="Q27" s="15" t="s">
        <v>19</v>
      </c>
      <c r="R27" s="6" t="s">
        <v>19</v>
      </c>
      <c r="S27" s="5" t="s">
        <v>19</v>
      </c>
      <c r="T27" s="6" t="s">
        <v>19</v>
      </c>
      <c r="U27" s="5" t="s">
        <v>19</v>
      </c>
      <c r="V27" s="14" t="s">
        <v>19</v>
      </c>
      <c r="W27" s="15" t="s">
        <v>19</v>
      </c>
      <c r="X27" s="6" t="s">
        <v>19</v>
      </c>
      <c r="Y27" s="5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6" t="s">
        <v>93</v>
      </c>
      <c r="C29" s="5">
        <f>74/75</f>
        <v>0.98666666666666669</v>
      </c>
      <c r="D29" s="14" t="s">
        <v>121</v>
      </c>
      <c r="E29" s="15">
        <f>18/75</f>
        <v>0.24</v>
      </c>
      <c r="F29" s="6" t="s">
        <v>94</v>
      </c>
      <c r="G29" s="5">
        <f>51/75</f>
        <v>0.68</v>
      </c>
      <c r="H29" s="6" t="s">
        <v>95</v>
      </c>
      <c r="I29" s="5">
        <f>74/78</f>
        <v>0.94871794871794868</v>
      </c>
      <c r="J29" s="14" t="s">
        <v>125</v>
      </c>
      <c r="K29" s="15">
        <f>18/18</f>
        <v>1</v>
      </c>
      <c r="L29" s="6" t="s">
        <v>96</v>
      </c>
      <c r="M29" s="5">
        <f>51/71</f>
        <v>0.71830985915492962</v>
      </c>
      <c r="N29" s="6" t="s">
        <v>97</v>
      </c>
      <c r="O29" s="5">
        <f>149/181</f>
        <v>0.82320441988950277</v>
      </c>
      <c r="P29" s="14" t="s">
        <v>128</v>
      </c>
      <c r="Q29" s="15">
        <f>18/181</f>
        <v>9.9447513812154692E-2</v>
      </c>
      <c r="R29" s="6" t="s">
        <v>98</v>
      </c>
      <c r="S29" s="5">
        <f>120/181</f>
        <v>0.66298342541436461</v>
      </c>
      <c r="T29" s="6" t="s">
        <v>99</v>
      </c>
      <c r="U29" s="5">
        <f>149/156</f>
        <v>0.95512820512820518</v>
      </c>
      <c r="V29" s="14" t="s">
        <v>125</v>
      </c>
      <c r="W29" s="15">
        <f>18/18</f>
        <v>1</v>
      </c>
      <c r="X29" s="6" t="s">
        <v>100</v>
      </c>
      <c r="Y29" s="5">
        <f>120/162</f>
        <v>0.7407407407407407</v>
      </c>
    </row>
    <row r="30" spans="1:25" ht="15.75" x14ac:dyDescent="0.25">
      <c r="A30" s="3" t="s">
        <v>65</v>
      </c>
      <c r="B30" s="6" t="s">
        <v>101</v>
      </c>
      <c r="C30" s="5">
        <f>40/41</f>
        <v>0.97560975609756095</v>
      </c>
      <c r="D30" s="14" t="s">
        <v>122</v>
      </c>
      <c r="E30" s="15">
        <f>3/41</f>
        <v>7.3170731707317069E-2</v>
      </c>
      <c r="F30" s="6" t="s">
        <v>102</v>
      </c>
      <c r="G30" s="5">
        <f>18/41</f>
        <v>0.43902439024390244</v>
      </c>
      <c r="H30" s="6" t="s">
        <v>103</v>
      </c>
      <c r="I30" s="5">
        <f>40/42</f>
        <v>0.95238095238095233</v>
      </c>
      <c r="J30" s="14" t="s">
        <v>123</v>
      </c>
      <c r="K30" s="15">
        <f>3/3</f>
        <v>1</v>
      </c>
      <c r="L30" s="6" t="s">
        <v>104</v>
      </c>
      <c r="M30" s="5">
        <f>18/34</f>
        <v>0.52941176470588236</v>
      </c>
      <c r="N30" s="6" t="s">
        <v>105</v>
      </c>
      <c r="O30" s="5">
        <f>18/20</f>
        <v>0.9</v>
      </c>
      <c r="P30" s="14" t="s">
        <v>118</v>
      </c>
      <c r="Q30" s="15">
        <f>3/20</f>
        <v>0.15</v>
      </c>
      <c r="R30" s="6" t="s">
        <v>32</v>
      </c>
      <c r="S30" s="5">
        <f>15/20</f>
        <v>0.75</v>
      </c>
      <c r="T30" s="6" t="s">
        <v>106</v>
      </c>
      <c r="U30" s="5">
        <f>18/19</f>
        <v>0.94736842105263153</v>
      </c>
      <c r="V30" s="14" t="s">
        <v>123</v>
      </c>
      <c r="W30" s="15">
        <f>3/3</f>
        <v>1</v>
      </c>
      <c r="X30" s="6" t="s">
        <v>107</v>
      </c>
      <c r="Y30" s="5">
        <f>15/46</f>
        <v>0.32608695652173914</v>
      </c>
    </row>
  </sheetData>
  <mergeCells count="24">
    <mergeCell ref="X2:Y2"/>
    <mergeCell ref="B18:C18"/>
    <mergeCell ref="F18:G18"/>
    <mergeCell ref="H18:I18"/>
    <mergeCell ref="L18:M18"/>
    <mergeCell ref="N18:O18"/>
    <mergeCell ref="R18:S18"/>
    <mergeCell ref="T18:U18"/>
    <mergeCell ref="X18:Y18"/>
    <mergeCell ref="B2:C2"/>
    <mergeCell ref="F2:G2"/>
    <mergeCell ref="H2:I2"/>
    <mergeCell ref="L2:M2"/>
    <mergeCell ref="D18:E18"/>
    <mergeCell ref="J2:K2"/>
    <mergeCell ref="J18:K18"/>
    <mergeCell ref="R2:S2"/>
    <mergeCell ref="D2:E2"/>
    <mergeCell ref="V2:W2"/>
    <mergeCell ref="V18:W18"/>
    <mergeCell ref="T2:U2"/>
    <mergeCell ref="P2:Q2"/>
    <mergeCell ref="P18:Q18"/>
    <mergeCell ref="N2:O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/>
  </sheetViews>
  <sheetFormatPr defaultColWidth="9.140625" defaultRowHeight="15" x14ac:dyDescent="0.25"/>
  <cols>
    <col min="1" max="1" width="12.7109375" style="2" customWidth="1"/>
    <col min="2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5" t="s">
        <v>108</v>
      </c>
      <c r="E2" s="25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18"/>
      <c r="E3" s="15"/>
      <c r="F3" s="4"/>
      <c r="G3" s="5"/>
      <c r="H3" s="4"/>
      <c r="I3" s="5"/>
      <c r="J3" s="18"/>
      <c r="K3" s="15"/>
      <c r="L3" s="4"/>
      <c r="M3" s="5"/>
      <c r="N3" s="4"/>
      <c r="O3" s="5"/>
      <c r="P3" s="18"/>
      <c r="Q3" s="15"/>
      <c r="R3" s="4"/>
      <c r="S3" s="5"/>
      <c r="T3" s="4"/>
      <c r="U3" s="5"/>
      <c r="V3" s="18"/>
      <c r="W3" s="1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18"/>
      <c r="E4" s="15"/>
      <c r="F4" s="4"/>
      <c r="G4" s="5"/>
      <c r="H4" s="4"/>
      <c r="I4" s="5"/>
      <c r="J4" s="18"/>
      <c r="K4" s="15"/>
      <c r="L4" s="4"/>
      <c r="M4" s="5"/>
      <c r="N4" s="4"/>
      <c r="O4" s="5"/>
      <c r="P4" s="18"/>
      <c r="Q4" s="15"/>
      <c r="R4" s="4"/>
      <c r="S4" s="5"/>
      <c r="T4" s="4"/>
      <c r="U4" s="5"/>
      <c r="V4" s="18"/>
      <c r="W4" s="15"/>
      <c r="X4" s="4"/>
      <c r="Y4" s="5"/>
    </row>
    <row r="5" spans="1:25" ht="15.75" x14ac:dyDescent="0.25">
      <c r="A5" s="3" t="s">
        <v>12</v>
      </c>
      <c r="B5" s="6" t="s">
        <v>41</v>
      </c>
      <c r="C5" s="5">
        <f>6/6</f>
        <v>1</v>
      </c>
      <c r="D5" s="19" t="s">
        <v>15</v>
      </c>
      <c r="E5" s="20">
        <f>0/6</f>
        <v>0</v>
      </c>
      <c r="F5" s="6" t="s">
        <v>151</v>
      </c>
      <c r="G5" s="5">
        <f>2/6</f>
        <v>0.33333333333333331</v>
      </c>
      <c r="H5" s="6" t="s">
        <v>40</v>
      </c>
      <c r="I5" s="5">
        <f>6/7</f>
        <v>0.8571428571428571</v>
      </c>
      <c r="J5" s="19" t="s">
        <v>18</v>
      </c>
      <c r="K5" s="19" t="s">
        <v>19</v>
      </c>
      <c r="L5" s="6" t="s">
        <v>135</v>
      </c>
      <c r="M5" s="5">
        <f>2/2</f>
        <v>1</v>
      </c>
      <c r="N5" s="6" t="s">
        <v>19</v>
      </c>
      <c r="O5" s="6" t="s">
        <v>19</v>
      </c>
      <c r="P5" s="19" t="s">
        <v>19</v>
      </c>
      <c r="Q5" s="19" t="s">
        <v>19</v>
      </c>
      <c r="R5" s="6" t="s">
        <v>19</v>
      </c>
      <c r="S5" s="6" t="s">
        <v>19</v>
      </c>
      <c r="T5" s="6" t="s">
        <v>19</v>
      </c>
      <c r="U5" s="6" t="s">
        <v>19</v>
      </c>
      <c r="V5" s="19" t="s">
        <v>19</v>
      </c>
      <c r="W5" s="19" t="s">
        <v>19</v>
      </c>
      <c r="X5" s="6" t="s">
        <v>19</v>
      </c>
      <c r="Y5" s="6" t="s">
        <v>19</v>
      </c>
    </row>
    <row r="6" spans="1:25" ht="15.75" x14ac:dyDescent="0.25">
      <c r="A6" s="3" t="s">
        <v>20</v>
      </c>
      <c r="B6" s="6" t="s">
        <v>21</v>
      </c>
      <c r="C6" s="6" t="s">
        <v>22</v>
      </c>
      <c r="D6" s="19" t="s">
        <v>23</v>
      </c>
      <c r="E6" s="19" t="s">
        <v>16</v>
      </c>
      <c r="F6" s="6" t="s">
        <v>23</v>
      </c>
      <c r="G6" s="6" t="s">
        <v>16</v>
      </c>
      <c r="H6" s="6" t="s">
        <v>24</v>
      </c>
      <c r="I6" s="6" t="s">
        <v>25</v>
      </c>
      <c r="J6" s="19" t="s">
        <v>18</v>
      </c>
      <c r="K6" s="19" t="s">
        <v>19</v>
      </c>
      <c r="L6" s="6" t="s">
        <v>18</v>
      </c>
      <c r="M6" s="6" t="s">
        <v>19</v>
      </c>
      <c r="N6" s="6" t="s">
        <v>19</v>
      </c>
      <c r="O6" s="6" t="s">
        <v>19</v>
      </c>
      <c r="P6" s="19" t="s">
        <v>19</v>
      </c>
      <c r="Q6" s="19" t="s">
        <v>19</v>
      </c>
      <c r="R6" s="6" t="s">
        <v>19</v>
      </c>
      <c r="S6" s="6" t="s">
        <v>19</v>
      </c>
      <c r="T6" s="6" t="s">
        <v>19</v>
      </c>
      <c r="U6" s="6" t="s">
        <v>19</v>
      </c>
      <c r="V6" s="19" t="s">
        <v>19</v>
      </c>
      <c r="W6" s="19" t="s">
        <v>19</v>
      </c>
      <c r="X6" s="6" t="s">
        <v>19</v>
      </c>
      <c r="Y6" s="6" t="s">
        <v>19</v>
      </c>
    </row>
    <row r="7" spans="1:25" ht="15.75" x14ac:dyDescent="0.25">
      <c r="A7" s="3" t="s">
        <v>26</v>
      </c>
      <c r="B7" s="6" t="s">
        <v>23</v>
      </c>
      <c r="C7" s="5">
        <f>0/1</f>
        <v>0</v>
      </c>
      <c r="D7" s="19" t="s">
        <v>23</v>
      </c>
      <c r="E7" s="20">
        <f>0/1</f>
        <v>0</v>
      </c>
      <c r="F7" s="6" t="s">
        <v>21</v>
      </c>
      <c r="G7" s="5">
        <f>1/1</f>
        <v>1</v>
      </c>
      <c r="H7" s="6" t="s">
        <v>18</v>
      </c>
      <c r="I7" s="6" t="s">
        <v>19</v>
      </c>
      <c r="J7" s="19" t="s">
        <v>18</v>
      </c>
      <c r="K7" s="19" t="s">
        <v>19</v>
      </c>
      <c r="L7" s="6" t="s">
        <v>21</v>
      </c>
      <c r="M7" s="5">
        <f>1/1</f>
        <v>1</v>
      </c>
      <c r="N7" s="6" t="s">
        <v>23</v>
      </c>
      <c r="O7" s="5">
        <f>0/1</f>
        <v>0</v>
      </c>
      <c r="P7" s="19" t="s">
        <v>23</v>
      </c>
      <c r="Q7" s="20">
        <f>0/1</f>
        <v>0</v>
      </c>
      <c r="R7" s="6" t="s">
        <v>21</v>
      </c>
      <c r="S7" s="5">
        <f>1/1</f>
        <v>1</v>
      </c>
      <c r="T7" s="6" t="s">
        <v>18</v>
      </c>
      <c r="U7" s="6" t="s">
        <v>19</v>
      </c>
      <c r="V7" s="19" t="s">
        <v>18</v>
      </c>
      <c r="W7" s="19" t="s">
        <v>19</v>
      </c>
      <c r="X7" s="6" t="s">
        <v>24</v>
      </c>
      <c r="Y7" s="5">
        <f>1/3</f>
        <v>0.33333333333333331</v>
      </c>
    </row>
    <row r="8" spans="1:25" ht="15.75" x14ac:dyDescent="0.25">
      <c r="A8" s="3" t="s">
        <v>27</v>
      </c>
      <c r="B8" s="6" t="s">
        <v>28</v>
      </c>
      <c r="C8" s="5">
        <f>27/29</f>
        <v>0.93103448275862066</v>
      </c>
      <c r="D8" s="19" t="s">
        <v>143</v>
      </c>
      <c r="E8" s="20">
        <f>4/29</f>
        <v>0.13793103448275862</v>
      </c>
      <c r="F8" s="6" t="s">
        <v>29</v>
      </c>
      <c r="G8" s="5">
        <f>10/29</f>
        <v>0.34482758620689657</v>
      </c>
      <c r="H8" s="6" t="s">
        <v>152</v>
      </c>
      <c r="I8" s="5">
        <f>27/28</f>
        <v>0.9642857142857143</v>
      </c>
      <c r="J8" s="19" t="s">
        <v>132</v>
      </c>
      <c r="K8" s="20">
        <f>4/4</f>
        <v>1</v>
      </c>
      <c r="L8" s="6" t="s">
        <v>31</v>
      </c>
      <c r="M8" s="5">
        <f>10/20</f>
        <v>0.5</v>
      </c>
      <c r="N8" s="6" t="s">
        <v>153</v>
      </c>
      <c r="O8" s="5">
        <f>21/26</f>
        <v>0.80769230769230771</v>
      </c>
      <c r="P8" s="19" t="s">
        <v>205</v>
      </c>
      <c r="Q8" s="20">
        <f>5/26</f>
        <v>0.19230769230769232</v>
      </c>
      <c r="R8" s="6" t="s">
        <v>154</v>
      </c>
      <c r="S8" s="5">
        <f>12/26</f>
        <v>0.46153846153846156</v>
      </c>
      <c r="T8" s="6" t="s">
        <v>155</v>
      </c>
      <c r="U8" s="5">
        <f>21/21</f>
        <v>1</v>
      </c>
      <c r="V8" s="19" t="s">
        <v>13</v>
      </c>
      <c r="W8" s="20">
        <f>5/6</f>
        <v>0.83333333333333337</v>
      </c>
      <c r="X8" s="6" t="s">
        <v>156</v>
      </c>
      <c r="Y8" s="5">
        <f>12/36</f>
        <v>0.33333333333333331</v>
      </c>
    </row>
    <row r="9" spans="1:25" ht="15.75" x14ac:dyDescent="0.25">
      <c r="A9" s="3" t="s">
        <v>36</v>
      </c>
      <c r="B9" s="6" t="s">
        <v>157</v>
      </c>
      <c r="C9" s="5">
        <f>5/7</f>
        <v>0.7142857142857143</v>
      </c>
      <c r="D9" s="19" t="s">
        <v>119</v>
      </c>
      <c r="E9" s="20">
        <f>0/7</f>
        <v>0</v>
      </c>
      <c r="F9" s="6" t="s">
        <v>40</v>
      </c>
      <c r="G9" s="5">
        <f>6/7</f>
        <v>0.8571428571428571</v>
      </c>
      <c r="H9" s="6" t="s">
        <v>17</v>
      </c>
      <c r="I9" s="5">
        <f>5/5</f>
        <v>1</v>
      </c>
      <c r="J9" s="19" t="s">
        <v>18</v>
      </c>
      <c r="K9" s="19" t="s">
        <v>19</v>
      </c>
      <c r="L9" s="6" t="s">
        <v>158</v>
      </c>
      <c r="M9" s="5">
        <f>6/9</f>
        <v>0.66666666666666663</v>
      </c>
      <c r="N9" s="6" t="s">
        <v>159</v>
      </c>
      <c r="O9" s="5">
        <f>4/6</f>
        <v>0.66666666666666663</v>
      </c>
      <c r="P9" s="19" t="s">
        <v>15</v>
      </c>
      <c r="Q9" s="20">
        <f>0/6</f>
        <v>0</v>
      </c>
      <c r="R9" s="6" t="s">
        <v>159</v>
      </c>
      <c r="S9" s="5">
        <f>4/6</f>
        <v>0.66666666666666663</v>
      </c>
      <c r="T9" s="6" t="s">
        <v>132</v>
      </c>
      <c r="U9" s="5">
        <f>4/4</f>
        <v>1</v>
      </c>
      <c r="V9" s="19" t="s">
        <v>18</v>
      </c>
      <c r="W9" s="19" t="s">
        <v>19</v>
      </c>
      <c r="X9" s="6" t="s">
        <v>160</v>
      </c>
      <c r="Y9" s="5">
        <f>4/17</f>
        <v>0.23529411764705882</v>
      </c>
    </row>
    <row r="10" spans="1:25" ht="15.75" x14ac:dyDescent="0.25">
      <c r="A10" s="3" t="s">
        <v>43</v>
      </c>
      <c r="B10" s="6" t="s">
        <v>161</v>
      </c>
      <c r="C10" s="5">
        <f>49/51</f>
        <v>0.96078431372549022</v>
      </c>
      <c r="D10" s="19" t="s">
        <v>144</v>
      </c>
      <c r="E10" s="20">
        <f>20/51</f>
        <v>0.39215686274509803</v>
      </c>
      <c r="F10" s="6" t="s">
        <v>161</v>
      </c>
      <c r="G10" s="5">
        <f>49/51</f>
        <v>0.96078431372549022</v>
      </c>
      <c r="H10" s="6" t="s">
        <v>162</v>
      </c>
      <c r="I10" s="5">
        <f>49/52</f>
        <v>0.94230769230769229</v>
      </c>
      <c r="J10" s="19" t="s">
        <v>75</v>
      </c>
      <c r="K10" s="20">
        <f>20/20</f>
        <v>1</v>
      </c>
      <c r="L10" s="6" t="s">
        <v>163</v>
      </c>
      <c r="M10" s="5">
        <f>49/62</f>
        <v>0.79032258064516125</v>
      </c>
      <c r="N10" s="6" t="s">
        <v>164</v>
      </c>
      <c r="O10" s="5">
        <f>131/185</f>
        <v>0.70810810810810809</v>
      </c>
      <c r="P10" s="19" t="s">
        <v>206</v>
      </c>
      <c r="Q10" s="20">
        <f>21/185</f>
        <v>0.11351351351351352</v>
      </c>
      <c r="R10" s="6" t="s">
        <v>164</v>
      </c>
      <c r="S10" s="5">
        <f>131/185</f>
        <v>0.70810810810810809</v>
      </c>
      <c r="T10" s="6" t="s">
        <v>91</v>
      </c>
      <c r="U10" s="5">
        <f>131/137</f>
        <v>0.95620437956204385</v>
      </c>
      <c r="V10" s="19" t="s">
        <v>155</v>
      </c>
      <c r="W10" s="20">
        <f>21/21</f>
        <v>1</v>
      </c>
      <c r="X10" s="6" t="s">
        <v>165</v>
      </c>
      <c r="Y10" s="5">
        <f>131/165</f>
        <v>0.79393939393939394</v>
      </c>
    </row>
    <row r="11" spans="1:25" ht="15.75" x14ac:dyDescent="0.25">
      <c r="A11" s="3" t="s">
        <v>52</v>
      </c>
      <c r="B11" s="6" t="s">
        <v>37</v>
      </c>
      <c r="C11" s="5">
        <f>8/8</f>
        <v>1</v>
      </c>
      <c r="D11" s="19" t="s">
        <v>113</v>
      </c>
      <c r="E11" s="20">
        <f>0/8</f>
        <v>0</v>
      </c>
      <c r="F11" s="6" t="s">
        <v>166</v>
      </c>
      <c r="G11" s="5">
        <f>1/8</f>
        <v>0.125</v>
      </c>
      <c r="H11" s="6" t="s">
        <v>167</v>
      </c>
      <c r="I11" s="5">
        <f>8/9</f>
        <v>0.88888888888888884</v>
      </c>
      <c r="J11" s="19" t="s">
        <v>18</v>
      </c>
      <c r="K11" s="19" t="s">
        <v>19</v>
      </c>
      <c r="L11" s="6" t="s">
        <v>168</v>
      </c>
      <c r="M11" s="5">
        <f>1/5</f>
        <v>0.2</v>
      </c>
      <c r="N11" s="6" t="s">
        <v>19</v>
      </c>
      <c r="O11" s="5" t="s">
        <v>19</v>
      </c>
      <c r="P11" s="19" t="s">
        <v>19</v>
      </c>
      <c r="Q11" s="20" t="s">
        <v>19</v>
      </c>
      <c r="R11" s="6" t="s">
        <v>19</v>
      </c>
      <c r="S11" s="5" t="s">
        <v>19</v>
      </c>
      <c r="T11" s="6" t="s">
        <v>19</v>
      </c>
      <c r="U11" s="5" t="s">
        <v>19</v>
      </c>
      <c r="V11" s="19" t="s">
        <v>19</v>
      </c>
      <c r="W11" s="20" t="s">
        <v>19</v>
      </c>
      <c r="X11" s="6" t="s">
        <v>19</v>
      </c>
      <c r="Y11" s="5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21" t="s">
        <v>169</v>
      </c>
      <c r="C13" s="22">
        <f>96/103</f>
        <v>0.93203883495145634</v>
      </c>
      <c r="D13" s="19" t="s">
        <v>145</v>
      </c>
      <c r="E13" s="20">
        <f>24/103</f>
        <v>0.23300970873786409</v>
      </c>
      <c r="F13" s="21" t="s">
        <v>170</v>
      </c>
      <c r="G13" s="22">
        <f>69/103</f>
        <v>0.66990291262135926</v>
      </c>
      <c r="H13" s="21" t="s">
        <v>171</v>
      </c>
      <c r="I13" s="22">
        <f>96/104</f>
        <v>0.92307692307692313</v>
      </c>
      <c r="J13" s="19" t="s">
        <v>204</v>
      </c>
      <c r="K13" s="20">
        <f>24/24</f>
        <v>1</v>
      </c>
      <c r="L13" s="21" t="s">
        <v>172</v>
      </c>
      <c r="M13" s="22">
        <f>69/99</f>
        <v>0.69696969696969702</v>
      </c>
      <c r="N13" s="23" t="s">
        <v>174</v>
      </c>
      <c r="O13" s="22">
        <f>156/218</f>
        <v>0.7155963302752294</v>
      </c>
      <c r="P13" s="24" t="s">
        <v>438</v>
      </c>
      <c r="Q13" s="20">
        <f>26/218</f>
        <v>0.11926605504587157</v>
      </c>
      <c r="R13" s="23" t="s">
        <v>441</v>
      </c>
      <c r="S13" s="22">
        <f>148/218</f>
        <v>0.67889908256880738</v>
      </c>
      <c r="T13" s="21" t="s">
        <v>173</v>
      </c>
      <c r="U13" s="22">
        <f>156/162</f>
        <v>0.96296296296296291</v>
      </c>
      <c r="V13" s="24" t="s">
        <v>212</v>
      </c>
      <c r="W13" s="20">
        <f>26/27</f>
        <v>0.96296296296296291</v>
      </c>
      <c r="X13" s="23" t="s">
        <v>444</v>
      </c>
      <c r="Y13" s="22">
        <f>156/221</f>
        <v>0.70588235294117652</v>
      </c>
    </row>
    <row r="14" spans="1:25" ht="15.75" x14ac:dyDescent="0.25">
      <c r="A14" s="3" t="s">
        <v>65</v>
      </c>
      <c r="B14" s="21" t="s">
        <v>139</v>
      </c>
      <c r="C14" s="22">
        <f>47/52</f>
        <v>0.90384615384615385</v>
      </c>
      <c r="D14" s="19" t="s">
        <v>146</v>
      </c>
      <c r="E14" s="20">
        <f>4/52</f>
        <v>7.6923076923076927E-2</v>
      </c>
      <c r="F14" s="21" t="s">
        <v>175</v>
      </c>
      <c r="G14" s="22">
        <f>20/52</f>
        <v>0.38461538461538464</v>
      </c>
      <c r="H14" s="21" t="s">
        <v>139</v>
      </c>
      <c r="I14" s="22">
        <f>47/52</f>
        <v>0.90384615384615385</v>
      </c>
      <c r="J14" s="19" t="s">
        <v>132</v>
      </c>
      <c r="K14" s="20">
        <f>4/4</f>
        <v>1</v>
      </c>
      <c r="L14" s="21" t="s">
        <v>176</v>
      </c>
      <c r="M14" s="22">
        <f>20/37</f>
        <v>0.54054054054054057</v>
      </c>
      <c r="N14" s="23" t="s">
        <v>437</v>
      </c>
      <c r="O14" s="22">
        <f>25/32</f>
        <v>0.78125</v>
      </c>
      <c r="P14" s="24" t="s">
        <v>439</v>
      </c>
      <c r="Q14" s="20">
        <f>5/33</f>
        <v>0.15151515151515152</v>
      </c>
      <c r="R14" s="23" t="s">
        <v>440</v>
      </c>
      <c r="S14" s="22">
        <f>17/33</f>
        <v>0.51515151515151514</v>
      </c>
      <c r="T14" s="21" t="s">
        <v>177</v>
      </c>
      <c r="U14" s="22">
        <f>25/25</f>
        <v>1</v>
      </c>
      <c r="V14" s="19" t="s">
        <v>13</v>
      </c>
      <c r="W14" s="20">
        <f>5/6</f>
        <v>0.83333333333333337</v>
      </c>
      <c r="X14" s="23" t="s">
        <v>443</v>
      </c>
      <c r="Y14" s="22">
        <f>16/56</f>
        <v>0.2857142857142857</v>
      </c>
    </row>
    <row r="15" spans="1:25" ht="15.75" x14ac:dyDescent="0.25">
      <c r="A15" s="3"/>
      <c r="B15" s="9"/>
      <c r="C15" s="10"/>
      <c r="D15" s="9"/>
      <c r="E15" s="10"/>
      <c r="F15" s="9"/>
      <c r="G15" s="10"/>
      <c r="H15" s="9"/>
      <c r="I15" s="10"/>
      <c r="J15" s="9"/>
      <c r="K15" s="10"/>
      <c r="L15" s="9"/>
      <c r="M15" s="10"/>
      <c r="N15" s="9"/>
      <c r="O15" s="10"/>
      <c r="P15" s="9"/>
      <c r="Q15" s="10"/>
      <c r="R15" s="9"/>
      <c r="S15" s="10"/>
      <c r="T15" s="9"/>
      <c r="U15" s="10"/>
      <c r="V15" s="9"/>
      <c r="W15" s="10"/>
      <c r="X15" s="9"/>
      <c r="Y15" s="10"/>
    </row>
    <row r="16" spans="1:25" ht="15.75" x14ac:dyDescent="0.25">
      <c r="A16" s="3"/>
      <c r="V16" s="11"/>
      <c r="W16" s="12"/>
      <c r="X16" s="11"/>
      <c r="Y16" s="12"/>
    </row>
    <row r="17" spans="1:25" ht="18.75" x14ac:dyDescent="0.3">
      <c r="A17" s="1" t="s">
        <v>74</v>
      </c>
      <c r="V17" s="13"/>
      <c r="X17" s="13"/>
    </row>
    <row r="18" spans="1:25" ht="15.75" x14ac:dyDescent="0.25">
      <c r="B18" s="25" t="s">
        <v>1</v>
      </c>
      <c r="C18" s="25"/>
      <c r="D18" s="25" t="s">
        <v>108</v>
      </c>
      <c r="E18" s="25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18"/>
      <c r="E19" s="15"/>
      <c r="F19" s="4"/>
      <c r="G19" s="5"/>
      <c r="H19" s="4"/>
      <c r="I19" s="5"/>
      <c r="J19" s="18"/>
      <c r="K19" s="15"/>
      <c r="L19" s="4"/>
      <c r="M19" s="5"/>
      <c r="N19" s="4"/>
      <c r="O19" s="5"/>
      <c r="P19" s="18"/>
      <c r="Q19" s="1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D20" s="18"/>
      <c r="E20" s="15"/>
      <c r="F20" s="4"/>
      <c r="G20" s="5"/>
      <c r="H20" s="4"/>
      <c r="I20" s="5"/>
      <c r="J20" s="18"/>
      <c r="K20" s="15"/>
      <c r="L20" s="4"/>
      <c r="M20" s="5"/>
      <c r="N20" s="4"/>
      <c r="O20" s="5"/>
      <c r="P20" s="18"/>
      <c r="Q20" s="1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6" t="s">
        <v>41</v>
      </c>
      <c r="C21" s="5">
        <f>6/6</f>
        <v>1</v>
      </c>
      <c r="D21" s="19" t="s">
        <v>15</v>
      </c>
      <c r="E21" s="20">
        <f>0/6</f>
        <v>0</v>
      </c>
      <c r="F21" s="6" t="s">
        <v>151</v>
      </c>
      <c r="G21" s="5">
        <f>2/6</f>
        <v>0.33333333333333331</v>
      </c>
      <c r="H21" s="6" t="s">
        <v>40</v>
      </c>
      <c r="I21" s="5">
        <f>6/7</f>
        <v>0.8571428571428571</v>
      </c>
      <c r="J21" s="19" t="s">
        <v>18</v>
      </c>
      <c r="K21" s="19" t="s">
        <v>19</v>
      </c>
      <c r="L21" s="6" t="s">
        <v>135</v>
      </c>
      <c r="M21" s="5">
        <f>2/2</f>
        <v>1</v>
      </c>
      <c r="N21" s="6" t="s">
        <v>19</v>
      </c>
      <c r="O21" s="6" t="s">
        <v>19</v>
      </c>
      <c r="P21" s="19" t="s">
        <v>19</v>
      </c>
      <c r="Q21" s="19" t="s">
        <v>19</v>
      </c>
      <c r="R21" s="6" t="s">
        <v>19</v>
      </c>
      <c r="S21" s="6" t="s">
        <v>19</v>
      </c>
      <c r="T21" s="6" t="s">
        <v>19</v>
      </c>
      <c r="U21" s="6" t="s">
        <v>19</v>
      </c>
      <c r="V21" s="19" t="s">
        <v>19</v>
      </c>
      <c r="W21" s="19" t="s">
        <v>19</v>
      </c>
      <c r="X21" s="6" t="s">
        <v>19</v>
      </c>
      <c r="Y21" s="6" t="s">
        <v>19</v>
      </c>
    </row>
    <row r="22" spans="1:25" ht="15.75" x14ac:dyDescent="0.25">
      <c r="A22" s="3" t="s">
        <v>20</v>
      </c>
      <c r="B22" s="6" t="s">
        <v>21</v>
      </c>
      <c r="C22" s="6" t="s">
        <v>22</v>
      </c>
      <c r="D22" s="19" t="s">
        <v>23</v>
      </c>
      <c r="E22" s="19" t="s">
        <v>16</v>
      </c>
      <c r="F22" s="6" t="s">
        <v>23</v>
      </c>
      <c r="G22" s="6" t="s">
        <v>16</v>
      </c>
      <c r="H22" s="6" t="s">
        <v>24</v>
      </c>
      <c r="I22" s="6" t="s">
        <v>25</v>
      </c>
      <c r="J22" s="19" t="s">
        <v>18</v>
      </c>
      <c r="K22" s="19">
        <v>0.625</v>
      </c>
      <c r="L22" s="6" t="s">
        <v>18</v>
      </c>
      <c r="M22" s="6">
        <v>0.625</v>
      </c>
      <c r="N22" s="6" t="s">
        <v>19</v>
      </c>
      <c r="O22" s="6" t="s">
        <v>19</v>
      </c>
      <c r="P22" s="19" t="s">
        <v>19</v>
      </c>
      <c r="Q22" s="19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19" t="s">
        <v>19</v>
      </c>
      <c r="W22" s="19" t="s">
        <v>19</v>
      </c>
      <c r="X22" s="6" t="s">
        <v>19</v>
      </c>
      <c r="Y22" s="6" t="s">
        <v>19</v>
      </c>
    </row>
    <row r="23" spans="1:25" ht="15.75" x14ac:dyDescent="0.25">
      <c r="A23" s="3" t="s">
        <v>26</v>
      </c>
      <c r="B23" s="6" t="s">
        <v>23</v>
      </c>
      <c r="C23" s="5">
        <f>0/1</f>
        <v>0</v>
      </c>
      <c r="D23" s="19" t="s">
        <v>23</v>
      </c>
      <c r="E23" s="20">
        <f>0/1</f>
        <v>0</v>
      </c>
      <c r="F23" s="6" t="s">
        <v>21</v>
      </c>
      <c r="G23" s="5">
        <f>1/1</f>
        <v>1</v>
      </c>
      <c r="H23" s="6" t="s">
        <v>18</v>
      </c>
      <c r="I23" s="6" t="s">
        <v>19</v>
      </c>
      <c r="J23" s="19" t="s">
        <v>18</v>
      </c>
      <c r="K23" s="19" t="s">
        <v>19</v>
      </c>
      <c r="L23" s="6" t="s">
        <v>21</v>
      </c>
      <c r="M23" s="5">
        <f>1/1</f>
        <v>1</v>
      </c>
      <c r="N23" s="6" t="s">
        <v>23</v>
      </c>
      <c r="O23" s="5">
        <f>0/1</f>
        <v>0</v>
      </c>
      <c r="P23" s="19" t="s">
        <v>23</v>
      </c>
      <c r="Q23" s="20">
        <f>0/1</f>
        <v>0</v>
      </c>
      <c r="R23" s="6" t="s">
        <v>21</v>
      </c>
      <c r="S23" s="5">
        <f>1/1</f>
        <v>1</v>
      </c>
      <c r="T23" s="6" t="s">
        <v>18</v>
      </c>
      <c r="U23" s="6" t="s">
        <v>19</v>
      </c>
      <c r="V23" s="19" t="s">
        <v>18</v>
      </c>
      <c r="W23" s="19" t="s">
        <v>19</v>
      </c>
      <c r="X23" s="6" t="s">
        <v>24</v>
      </c>
      <c r="Y23" s="5">
        <f>1/3</f>
        <v>0.33333333333333331</v>
      </c>
    </row>
    <row r="24" spans="1:25" ht="15.75" x14ac:dyDescent="0.25">
      <c r="A24" s="3" t="s">
        <v>27</v>
      </c>
      <c r="B24" s="6" t="s">
        <v>75</v>
      </c>
      <c r="C24" s="5">
        <f>20/20</f>
        <v>1</v>
      </c>
      <c r="D24" s="19" t="s">
        <v>147</v>
      </c>
      <c r="E24" s="20">
        <f>4/20</f>
        <v>0.2</v>
      </c>
      <c r="F24" s="6" t="s">
        <v>76</v>
      </c>
      <c r="G24" s="5">
        <f>9/20</f>
        <v>0.45</v>
      </c>
      <c r="H24" s="6" t="s">
        <v>178</v>
      </c>
      <c r="I24" s="5">
        <f>20/21</f>
        <v>0.95238095238095233</v>
      </c>
      <c r="J24" s="19" t="s">
        <v>132</v>
      </c>
      <c r="K24" s="20">
        <f>4/4</f>
        <v>1</v>
      </c>
      <c r="L24" s="6" t="s">
        <v>179</v>
      </c>
      <c r="M24" s="5">
        <f>9/18</f>
        <v>0.5</v>
      </c>
      <c r="N24" s="6" t="s">
        <v>180</v>
      </c>
      <c r="O24" s="5">
        <f>17/18</f>
        <v>0.94444444444444442</v>
      </c>
      <c r="P24" s="19" t="s">
        <v>207</v>
      </c>
      <c r="Q24" s="20">
        <f>4/18</f>
        <v>0.22222222222222221</v>
      </c>
      <c r="R24" s="6" t="s">
        <v>181</v>
      </c>
      <c r="S24" s="5">
        <f>11/18</f>
        <v>0.61111111111111116</v>
      </c>
      <c r="T24" s="6" t="s">
        <v>182</v>
      </c>
      <c r="U24" s="5">
        <f>17/17</f>
        <v>1</v>
      </c>
      <c r="V24" s="19" t="s">
        <v>184</v>
      </c>
      <c r="W24" s="20">
        <f>4/5</f>
        <v>0.8</v>
      </c>
      <c r="X24" s="6" t="s">
        <v>35</v>
      </c>
      <c r="Y24" s="5">
        <f>11/34</f>
        <v>0.3235294117647059</v>
      </c>
    </row>
    <row r="25" spans="1:25" ht="15.75" x14ac:dyDescent="0.25">
      <c r="A25" s="3" t="s">
        <v>36</v>
      </c>
      <c r="B25" s="6" t="s">
        <v>159</v>
      </c>
      <c r="C25" s="5">
        <f>4/6</f>
        <v>0.66666666666666663</v>
      </c>
      <c r="D25" s="19" t="s">
        <v>15</v>
      </c>
      <c r="E25" s="20">
        <f>0/6</f>
        <v>0</v>
      </c>
      <c r="F25" s="6" t="s">
        <v>41</v>
      </c>
      <c r="G25" s="5">
        <f>6/6</f>
        <v>1</v>
      </c>
      <c r="H25" s="6" t="s">
        <v>132</v>
      </c>
      <c r="I25" s="5">
        <f>4/4</f>
        <v>1</v>
      </c>
      <c r="J25" s="19" t="s">
        <v>18</v>
      </c>
      <c r="K25" s="19" t="s">
        <v>19</v>
      </c>
      <c r="L25" s="6" t="s">
        <v>158</v>
      </c>
      <c r="M25" s="5">
        <f>6/9</f>
        <v>0.66666666666666663</v>
      </c>
      <c r="N25" s="6" t="s">
        <v>183</v>
      </c>
      <c r="O25" s="5">
        <f>3/5</f>
        <v>0.6</v>
      </c>
      <c r="P25" s="19" t="s">
        <v>208</v>
      </c>
      <c r="Q25" s="20">
        <f>0/5</f>
        <v>0</v>
      </c>
      <c r="R25" s="6" t="s">
        <v>184</v>
      </c>
      <c r="S25" s="5">
        <f>4/5</f>
        <v>0.8</v>
      </c>
      <c r="T25" s="6" t="s">
        <v>123</v>
      </c>
      <c r="U25" s="5">
        <f>3/3</f>
        <v>1</v>
      </c>
      <c r="V25" s="19" t="s">
        <v>18</v>
      </c>
      <c r="W25" s="19" t="s">
        <v>19</v>
      </c>
      <c r="X25" s="6" t="s">
        <v>160</v>
      </c>
      <c r="Y25" s="5">
        <f>4/17</f>
        <v>0.23529411764705882</v>
      </c>
    </row>
    <row r="26" spans="1:25" ht="15.75" x14ac:dyDescent="0.25">
      <c r="A26" s="3" t="s">
        <v>43</v>
      </c>
      <c r="B26" s="6" t="s">
        <v>185</v>
      </c>
      <c r="C26" s="5">
        <f>37/38</f>
        <v>0.97368421052631582</v>
      </c>
      <c r="D26" s="19" t="s">
        <v>148</v>
      </c>
      <c r="E26" s="20">
        <f>18/38</f>
        <v>0.47368421052631576</v>
      </c>
      <c r="F26" s="6" t="s">
        <v>185</v>
      </c>
      <c r="G26" s="5">
        <f>37/38</f>
        <v>0.97368421052631582</v>
      </c>
      <c r="H26" s="6" t="s">
        <v>186</v>
      </c>
      <c r="I26" s="5">
        <f>37/40</f>
        <v>0.92500000000000004</v>
      </c>
      <c r="J26" s="19" t="s">
        <v>125</v>
      </c>
      <c r="K26" s="20">
        <f>18/18</f>
        <v>1</v>
      </c>
      <c r="L26" s="6" t="s">
        <v>187</v>
      </c>
      <c r="M26" s="5">
        <f>37/46</f>
        <v>0.80434782608695654</v>
      </c>
      <c r="N26" s="6" t="s">
        <v>188</v>
      </c>
      <c r="O26" s="5">
        <f>126/169</f>
        <v>0.74556213017751483</v>
      </c>
      <c r="P26" s="19" t="s">
        <v>209</v>
      </c>
      <c r="Q26" s="20">
        <f>19/169</f>
        <v>0.11242603550295859</v>
      </c>
      <c r="R26" s="6" t="s">
        <v>189</v>
      </c>
      <c r="S26" s="5">
        <f>118/169</f>
        <v>0.69822485207100593</v>
      </c>
      <c r="T26" s="6" t="s">
        <v>190</v>
      </c>
      <c r="U26" s="5">
        <f>126/132</f>
        <v>0.95454545454545459</v>
      </c>
      <c r="V26" s="19" t="s">
        <v>213</v>
      </c>
      <c r="W26" s="20">
        <f>19/19</f>
        <v>1</v>
      </c>
      <c r="X26" s="6" t="s">
        <v>191</v>
      </c>
      <c r="Y26" s="5">
        <f>118/149</f>
        <v>0.79194630872483218</v>
      </c>
    </row>
    <row r="27" spans="1:25" ht="15.75" x14ac:dyDescent="0.25">
      <c r="A27" s="3" t="s">
        <v>52</v>
      </c>
      <c r="B27" s="6" t="s">
        <v>41</v>
      </c>
      <c r="C27" s="5">
        <f>6/6</f>
        <v>1</v>
      </c>
      <c r="D27" s="19" t="s">
        <v>15</v>
      </c>
      <c r="E27" s="20">
        <f>0/6</f>
        <v>0</v>
      </c>
      <c r="F27" s="6" t="s">
        <v>192</v>
      </c>
      <c r="G27" s="5">
        <f>1/6</f>
        <v>0.16666666666666666</v>
      </c>
      <c r="H27" s="6" t="s">
        <v>40</v>
      </c>
      <c r="I27" s="5">
        <f>6/7</f>
        <v>0.8571428571428571</v>
      </c>
      <c r="J27" s="19" t="s">
        <v>18</v>
      </c>
      <c r="K27" s="19" t="s">
        <v>19</v>
      </c>
      <c r="L27" s="6" t="s">
        <v>168</v>
      </c>
      <c r="M27" s="5">
        <f>1/5</f>
        <v>0.2</v>
      </c>
      <c r="N27" s="6" t="s">
        <v>19</v>
      </c>
      <c r="O27" s="5" t="s">
        <v>19</v>
      </c>
      <c r="P27" s="19" t="s">
        <v>19</v>
      </c>
      <c r="Q27" s="20" t="s">
        <v>19</v>
      </c>
      <c r="R27" s="6" t="s">
        <v>19</v>
      </c>
      <c r="S27" s="5" t="s">
        <v>19</v>
      </c>
      <c r="T27" s="6" t="s">
        <v>19</v>
      </c>
      <c r="U27" s="5" t="s">
        <v>19</v>
      </c>
      <c r="V27" s="19" t="s">
        <v>19</v>
      </c>
      <c r="W27" s="20" t="s">
        <v>19</v>
      </c>
      <c r="X27" s="6" t="s">
        <v>19</v>
      </c>
      <c r="Y27" s="5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21" t="s">
        <v>95</v>
      </c>
      <c r="C29" s="22">
        <f>74/78</f>
        <v>0.94871794871794868</v>
      </c>
      <c r="D29" s="19" t="s">
        <v>149</v>
      </c>
      <c r="E29" s="20">
        <f>22/78</f>
        <v>0.28205128205128205</v>
      </c>
      <c r="F29" s="21" t="s">
        <v>193</v>
      </c>
      <c r="G29" s="22">
        <f>56/78</f>
        <v>0.71794871794871795</v>
      </c>
      <c r="H29" s="23" t="s">
        <v>434</v>
      </c>
      <c r="I29" s="22">
        <f>74/82</f>
        <v>0.90243902439024393</v>
      </c>
      <c r="J29" s="19" t="s">
        <v>140</v>
      </c>
      <c r="K29" s="20">
        <f>22/22</f>
        <v>1</v>
      </c>
      <c r="L29" s="21" t="s">
        <v>194</v>
      </c>
      <c r="M29" s="22">
        <f>56/81</f>
        <v>0.69135802469135799</v>
      </c>
      <c r="N29" s="21" t="s">
        <v>195</v>
      </c>
      <c r="O29" s="22">
        <f>146/193</f>
        <v>0.75647668393782386</v>
      </c>
      <c r="P29" s="19" t="s">
        <v>210</v>
      </c>
      <c r="Q29" s="20">
        <f>23/193</f>
        <v>0.11917098445595854</v>
      </c>
      <c r="R29" s="21" t="s">
        <v>196</v>
      </c>
      <c r="S29" s="22">
        <f>146/193</f>
        <v>0.75647668393782386</v>
      </c>
      <c r="T29" s="21" t="s">
        <v>197</v>
      </c>
      <c r="U29" s="22">
        <f>146/152</f>
        <v>0.96052631578947367</v>
      </c>
      <c r="V29" s="19" t="s">
        <v>214</v>
      </c>
      <c r="W29" s="20">
        <f>23/24</f>
        <v>0.95833333333333337</v>
      </c>
      <c r="X29" s="21" t="s">
        <v>198</v>
      </c>
      <c r="Y29" s="22">
        <f>134/203</f>
        <v>0.66009852216748766</v>
      </c>
    </row>
    <row r="30" spans="1:25" ht="15.75" x14ac:dyDescent="0.25">
      <c r="A30" s="3" t="s">
        <v>65</v>
      </c>
      <c r="B30" s="21" t="s">
        <v>186</v>
      </c>
      <c r="C30" s="22">
        <f>37/40</f>
        <v>0.92500000000000004</v>
      </c>
      <c r="D30" s="19" t="s">
        <v>150</v>
      </c>
      <c r="E30" s="20">
        <f>4/40</f>
        <v>0.1</v>
      </c>
      <c r="F30" s="21" t="s">
        <v>199</v>
      </c>
      <c r="G30" s="22">
        <f>19/40</f>
        <v>0.47499999999999998</v>
      </c>
      <c r="H30" s="23" t="s">
        <v>436</v>
      </c>
      <c r="I30" s="22">
        <f>37/42</f>
        <v>0.88095238095238093</v>
      </c>
      <c r="J30" s="19" t="s">
        <v>132</v>
      </c>
      <c r="K30" s="20">
        <f>4/4</f>
        <v>1</v>
      </c>
      <c r="L30" s="21" t="s">
        <v>200</v>
      </c>
      <c r="M30" s="22">
        <f>19/35</f>
        <v>0.54285714285714282</v>
      </c>
      <c r="N30" s="21" t="s">
        <v>201</v>
      </c>
      <c r="O30" s="22">
        <f>20/24</f>
        <v>0.83333333333333337</v>
      </c>
      <c r="P30" s="19" t="s">
        <v>211</v>
      </c>
      <c r="Q30" s="20">
        <f>4/24</f>
        <v>0.16666666666666666</v>
      </c>
      <c r="R30" s="21" t="s">
        <v>202</v>
      </c>
      <c r="S30" s="22">
        <f>16/24</f>
        <v>0.66666666666666663</v>
      </c>
      <c r="T30" s="23" t="s">
        <v>75</v>
      </c>
      <c r="U30" s="22">
        <f>20/20</f>
        <v>1</v>
      </c>
      <c r="V30" s="19" t="s">
        <v>184</v>
      </c>
      <c r="W30" s="20">
        <f>4/5</f>
        <v>0.8</v>
      </c>
      <c r="X30" s="21" t="s">
        <v>203</v>
      </c>
      <c r="Y30" s="22">
        <f>16/54</f>
        <v>0.29629629629629628</v>
      </c>
    </row>
  </sheetData>
  <mergeCells count="24">
    <mergeCell ref="R2:S2"/>
    <mergeCell ref="D2:E2"/>
    <mergeCell ref="V2:W2"/>
    <mergeCell ref="V18:W18"/>
    <mergeCell ref="T2:U2"/>
    <mergeCell ref="P2:Q2"/>
    <mergeCell ref="P18:Q18"/>
    <mergeCell ref="N2:O2"/>
    <mergeCell ref="X2:Y2"/>
    <mergeCell ref="B18:C18"/>
    <mergeCell ref="F18:G18"/>
    <mergeCell ref="H18:I18"/>
    <mergeCell ref="L18:M18"/>
    <mergeCell ref="N18:O18"/>
    <mergeCell ref="R18:S18"/>
    <mergeCell ref="T18:U18"/>
    <mergeCell ref="X18:Y18"/>
    <mergeCell ref="B2:C2"/>
    <mergeCell ref="F2:G2"/>
    <mergeCell ref="H2:I2"/>
    <mergeCell ref="L2:M2"/>
    <mergeCell ref="D18:E18"/>
    <mergeCell ref="J2:K2"/>
    <mergeCell ref="J18:K1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/>
  </sheetViews>
  <sheetFormatPr defaultColWidth="9.140625" defaultRowHeight="15" x14ac:dyDescent="0.25"/>
  <cols>
    <col min="1" max="1" width="12.7109375" style="2" customWidth="1"/>
    <col min="2" max="22" width="12.85546875" style="2" customWidth="1"/>
    <col min="23" max="23" width="13" style="2" customWidth="1"/>
    <col min="24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5" t="s">
        <v>108</v>
      </c>
      <c r="E2" s="25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18"/>
      <c r="E3" s="15"/>
      <c r="F3" s="4"/>
      <c r="G3" s="5"/>
      <c r="H3" s="4"/>
      <c r="I3" s="5"/>
      <c r="J3" s="18"/>
      <c r="K3" s="15"/>
      <c r="L3" s="4"/>
      <c r="M3" s="5"/>
      <c r="N3" s="4"/>
      <c r="O3" s="5"/>
      <c r="P3" s="18"/>
      <c r="Q3" s="15"/>
      <c r="R3" s="4"/>
      <c r="S3" s="5"/>
      <c r="T3" s="4"/>
      <c r="U3" s="5"/>
      <c r="V3" s="18"/>
      <c r="W3" s="1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18"/>
      <c r="E4" s="15"/>
      <c r="F4" s="4"/>
      <c r="G4" s="5"/>
      <c r="H4" s="4"/>
      <c r="I4" s="5"/>
      <c r="J4" s="18"/>
      <c r="K4" s="15"/>
      <c r="L4" s="4"/>
      <c r="M4" s="5"/>
      <c r="N4" s="4"/>
      <c r="O4" s="5"/>
      <c r="P4" s="18"/>
      <c r="Q4" s="15"/>
      <c r="R4" s="4"/>
      <c r="S4" s="5"/>
      <c r="T4" s="4"/>
      <c r="U4" s="5"/>
      <c r="V4" s="18"/>
      <c r="W4" s="15"/>
      <c r="X4" s="4"/>
      <c r="Y4" s="5"/>
    </row>
    <row r="5" spans="1:25" ht="15.75" x14ac:dyDescent="0.25">
      <c r="A5" s="3" t="s">
        <v>12</v>
      </c>
      <c r="B5" s="6" t="s">
        <v>17</v>
      </c>
      <c r="C5" s="5">
        <f>5/5</f>
        <v>1</v>
      </c>
      <c r="D5" s="14" t="s">
        <v>208</v>
      </c>
      <c r="E5" s="15">
        <f>0/5</f>
        <v>0</v>
      </c>
      <c r="F5" s="6" t="s">
        <v>183</v>
      </c>
      <c r="G5" s="5">
        <f>3/5</f>
        <v>0.6</v>
      </c>
      <c r="H5" s="6" t="s">
        <v>17</v>
      </c>
      <c r="I5" s="5">
        <f>5/5</f>
        <v>1</v>
      </c>
      <c r="J5" s="14" t="s">
        <v>18</v>
      </c>
      <c r="K5" s="14" t="s">
        <v>19</v>
      </c>
      <c r="L5" s="6" t="s">
        <v>123</v>
      </c>
      <c r="M5" s="5">
        <f>3/3</f>
        <v>1</v>
      </c>
      <c r="N5" s="6" t="s">
        <v>19</v>
      </c>
      <c r="O5" s="6" t="s">
        <v>19</v>
      </c>
      <c r="P5" s="14" t="s">
        <v>19</v>
      </c>
      <c r="Q5" s="14" t="s">
        <v>19</v>
      </c>
      <c r="R5" s="6" t="s">
        <v>19</v>
      </c>
      <c r="S5" s="6" t="s">
        <v>19</v>
      </c>
      <c r="T5" s="6" t="s">
        <v>19</v>
      </c>
      <c r="U5" s="6" t="s">
        <v>19</v>
      </c>
      <c r="V5" s="14" t="s">
        <v>19</v>
      </c>
      <c r="W5" s="14" t="s">
        <v>19</v>
      </c>
      <c r="X5" s="6" t="s">
        <v>19</v>
      </c>
      <c r="Y5" s="6" t="s">
        <v>19</v>
      </c>
    </row>
    <row r="6" spans="1:25" ht="15.75" x14ac:dyDescent="0.25">
      <c r="A6" s="3" t="s">
        <v>20</v>
      </c>
      <c r="B6" s="6" t="s">
        <v>21</v>
      </c>
      <c r="C6" s="6" t="s">
        <v>22</v>
      </c>
      <c r="D6" s="14" t="s">
        <v>23</v>
      </c>
      <c r="E6" s="14" t="s">
        <v>16</v>
      </c>
      <c r="F6" s="6" t="s">
        <v>23</v>
      </c>
      <c r="G6" s="6" t="s">
        <v>16</v>
      </c>
      <c r="H6" s="6" t="s">
        <v>21</v>
      </c>
      <c r="I6" s="5">
        <f>1/1</f>
        <v>1</v>
      </c>
      <c r="J6" s="14" t="s">
        <v>18</v>
      </c>
      <c r="K6" s="14" t="s">
        <v>19</v>
      </c>
      <c r="L6" s="6" t="s">
        <v>18</v>
      </c>
      <c r="M6" s="6" t="s">
        <v>19</v>
      </c>
      <c r="N6" s="6" t="s">
        <v>19</v>
      </c>
      <c r="O6" s="6" t="s">
        <v>19</v>
      </c>
      <c r="P6" s="14" t="s">
        <v>19</v>
      </c>
      <c r="Q6" s="14" t="s">
        <v>19</v>
      </c>
      <c r="R6" s="6" t="s">
        <v>19</v>
      </c>
      <c r="S6" s="6" t="s">
        <v>19</v>
      </c>
      <c r="T6" s="6" t="s">
        <v>19</v>
      </c>
      <c r="U6" s="6" t="s">
        <v>19</v>
      </c>
      <c r="V6" s="14" t="s">
        <v>19</v>
      </c>
      <c r="W6" s="14" t="s">
        <v>19</v>
      </c>
      <c r="X6" s="6" t="s">
        <v>19</v>
      </c>
      <c r="Y6" s="6" t="s">
        <v>19</v>
      </c>
    </row>
    <row r="7" spans="1:25" ht="15.75" x14ac:dyDescent="0.25">
      <c r="A7" s="3" t="s">
        <v>26</v>
      </c>
      <c r="B7" s="6" t="s">
        <v>18</v>
      </c>
      <c r="C7" s="6" t="s">
        <v>19</v>
      </c>
      <c r="D7" s="14" t="s">
        <v>18</v>
      </c>
      <c r="E7" s="14" t="s">
        <v>19</v>
      </c>
      <c r="F7" s="6" t="s">
        <v>18</v>
      </c>
      <c r="G7" s="6" t="s">
        <v>19</v>
      </c>
      <c r="H7" s="6" t="s">
        <v>18</v>
      </c>
      <c r="I7" s="6" t="s">
        <v>19</v>
      </c>
      <c r="J7" s="14" t="s">
        <v>18</v>
      </c>
      <c r="K7" s="14" t="s">
        <v>19</v>
      </c>
      <c r="L7" s="6" t="s">
        <v>23</v>
      </c>
      <c r="M7" s="5">
        <f>0/1</f>
        <v>0</v>
      </c>
      <c r="N7" s="6" t="s">
        <v>18</v>
      </c>
      <c r="O7" s="6" t="s">
        <v>19</v>
      </c>
      <c r="P7" s="14" t="s">
        <v>18</v>
      </c>
      <c r="Q7" s="14" t="s">
        <v>19</v>
      </c>
      <c r="R7" s="6" t="s">
        <v>18</v>
      </c>
      <c r="S7" s="6" t="s">
        <v>19</v>
      </c>
      <c r="T7" s="6" t="s">
        <v>18</v>
      </c>
      <c r="U7" s="6" t="s">
        <v>19</v>
      </c>
      <c r="V7" s="14" t="s">
        <v>18</v>
      </c>
      <c r="W7" s="14" t="s">
        <v>19</v>
      </c>
      <c r="X7" s="6" t="s">
        <v>215</v>
      </c>
      <c r="Y7" s="5">
        <f>0/3</f>
        <v>0</v>
      </c>
    </row>
    <row r="8" spans="1:25" ht="15.75" x14ac:dyDescent="0.25">
      <c r="A8" s="3" t="s">
        <v>27</v>
      </c>
      <c r="B8" s="6" t="s">
        <v>216</v>
      </c>
      <c r="C8" s="5">
        <f>32/34</f>
        <v>0.94117647058823528</v>
      </c>
      <c r="D8" s="14" t="s">
        <v>278</v>
      </c>
      <c r="E8" s="15">
        <f>5/34</f>
        <v>0.14705882352941177</v>
      </c>
      <c r="F8" s="6" t="s">
        <v>217</v>
      </c>
      <c r="G8" s="5">
        <f>12/34</f>
        <v>0.35294117647058826</v>
      </c>
      <c r="H8" s="6" t="s">
        <v>218</v>
      </c>
      <c r="I8" s="5">
        <f>32/32</f>
        <v>1</v>
      </c>
      <c r="J8" s="14" t="s">
        <v>17</v>
      </c>
      <c r="K8" s="15">
        <f>5/5</f>
        <v>1</v>
      </c>
      <c r="L8" s="6" t="s">
        <v>219</v>
      </c>
      <c r="M8" s="5">
        <f>12/23</f>
        <v>0.52173913043478259</v>
      </c>
      <c r="N8" s="6" t="s">
        <v>71</v>
      </c>
      <c r="O8" s="5">
        <f>17/27</f>
        <v>0.62962962962962965</v>
      </c>
      <c r="P8" s="14" t="s">
        <v>286</v>
      </c>
      <c r="Q8" s="15">
        <f>4/27</f>
        <v>0.14814814814814814</v>
      </c>
      <c r="R8" s="6" t="s">
        <v>220</v>
      </c>
      <c r="S8" s="5">
        <f>14/27</f>
        <v>0.51851851851851849</v>
      </c>
      <c r="T8" s="6" t="s">
        <v>182</v>
      </c>
      <c r="U8" s="5">
        <f>17/17</f>
        <v>1</v>
      </c>
      <c r="V8" s="14" t="s">
        <v>159</v>
      </c>
      <c r="W8" s="15">
        <f>4/6</f>
        <v>0.66666666666666663</v>
      </c>
      <c r="X8" s="6" t="s">
        <v>221</v>
      </c>
      <c r="Y8" s="5">
        <f>14/47</f>
        <v>0.2978723404255319</v>
      </c>
    </row>
    <row r="9" spans="1:25" ht="15.75" x14ac:dyDescent="0.25">
      <c r="A9" s="3" t="s">
        <v>36</v>
      </c>
      <c r="B9" s="6" t="s">
        <v>222</v>
      </c>
      <c r="C9" s="5">
        <f>8/10</f>
        <v>0.8</v>
      </c>
      <c r="D9" s="14" t="s">
        <v>115</v>
      </c>
      <c r="E9" s="15">
        <f>0/10</f>
        <v>0</v>
      </c>
      <c r="F9" s="6" t="s">
        <v>53</v>
      </c>
      <c r="G9" s="5">
        <f>9/10</f>
        <v>0.9</v>
      </c>
      <c r="H9" s="6" t="s">
        <v>37</v>
      </c>
      <c r="I9" s="5">
        <f>8/8</f>
        <v>1</v>
      </c>
      <c r="J9" s="14" t="s">
        <v>18</v>
      </c>
      <c r="K9" s="14" t="s">
        <v>19</v>
      </c>
      <c r="L9" s="6" t="s">
        <v>223</v>
      </c>
      <c r="M9" s="5">
        <f>9/11</f>
        <v>0.81818181818181823</v>
      </c>
      <c r="N9" s="6" t="s">
        <v>224</v>
      </c>
      <c r="O9" s="5">
        <f>5/11</f>
        <v>0.45454545454545453</v>
      </c>
      <c r="P9" s="14" t="s">
        <v>287</v>
      </c>
      <c r="Q9" s="15">
        <f>0/11</f>
        <v>0</v>
      </c>
      <c r="R9" s="6" t="s">
        <v>225</v>
      </c>
      <c r="S9" s="5">
        <f>6/11</f>
        <v>0.54545454545454541</v>
      </c>
      <c r="T9" s="6" t="s">
        <v>134</v>
      </c>
      <c r="U9" s="5">
        <f>5/8</f>
        <v>0.625</v>
      </c>
      <c r="V9" s="14" t="s">
        <v>18</v>
      </c>
      <c r="W9" s="14" t="s">
        <v>19</v>
      </c>
      <c r="X9" s="6" t="s">
        <v>226</v>
      </c>
      <c r="Y9" s="5">
        <f>6/18</f>
        <v>0.33333333333333331</v>
      </c>
    </row>
    <row r="10" spans="1:25" ht="15.75" x14ac:dyDescent="0.25">
      <c r="A10" s="3" t="s">
        <v>43</v>
      </c>
      <c r="B10" s="6" t="s">
        <v>227</v>
      </c>
      <c r="C10" s="5">
        <f>45/47</f>
        <v>0.95744680851063835</v>
      </c>
      <c r="D10" s="14" t="s">
        <v>279</v>
      </c>
      <c r="E10" s="15">
        <f>18/47</f>
        <v>0.38297872340425532</v>
      </c>
      <c r="F10" s="6" t="s">
        <v>228</v>
      </c>
      <c r="G10" s="5">
        <f>43/47</f>
        <v>0.91489361702127658</v>
      </c>
      <c r="H10" s="6" t="s">
        <v>229</v>
      </c>
      <c r="I10" s="5">
        <f>45/48</f>
        <v>0.9375</v>
      </c>
      <c r="J10" s="14" t="s">
        <v>125</v>
      </c>
      <c r="K10" s="15">
        <f>18/18</f>
        <v>1</v>
      </c>
      <c r="L10" s="6" t="s">
        <v>230</v>
      </c>
      <c r="M10" s="5">
        <f>43/57</f>
        <v>0.75438596491228072</v>
      </c>
      <c r="N10" s="6" t="s">
        <v>231</v>
      </c>
      <c r="O10" s="5">
        <f>133/178</f>
        <v>0.7471910112359551</v>
      </c>
      <c r="P10" s="14" t="s">
        <v>288</v>
      </c>
      <c r="Q10" s="15">
        <f>22/178</f>
        <v>0.12359550561797752</v>
      </c>
      <c r="R10" s="6" t="s">
        <v>232</v>
      </c>
      <c r="S10" s="5">
        <f>119/178</f>
        <v>0.6685393258426966</v>
      </c>
      <c r="T10" s="6" t="s">
        <v>233</v>
      </c>
      <c r="U10" s="5">
        <f>133/138</f>
        <v>0.96376811594202894</v>
      </c>
      <c r="V10" s="14" t="s">
        <v>140</v>
      </c>
      <c r="W10" s="15">
        <f>22/22</f>
        <v>1</v>
      </c>
      <c r="X10" s="6" t="s">
        <v>234</v>
      </c>
      <c r="Y10" s="5">
        <f>119/145</f>
        <v>0.82068965517241377</v>
      </c>
    </row>
    <row r="11" spans="1:25" ht="15.75" x14ac:dyDescent="0.25">
      <c r="A11" s="3" t="s">
        <v>52</v>
      </c>
      <c r="B11" s="6" t="s">
        <v>38</v>
      </c>
      <c r="C11" s="5">
        <f>7/8</f>
        <v>0.875</v>
      </c>
      <c r="D11" s="14" t="s">
        <v>113</v>
      </c>
      <c r="E11" s="15">
        <f>0/8</f>
        <v>0</v>
      </c>
      <c r="F11" s="6" t="s">
        <v>235</v>
      </c>
      <c r="G11" s="5">
        <f>2/8</f>
        <v>0.25</v>
      </c>
      <c r="H11" s="6" t="s">
        <v>82</v>
      </c>
      <c r="I11" s="5">
        <f>7/7</f>
        <v>1</v>
      </c>
      <c r="J11" s="14" t="s">
        <v>18</v>
      </c>
      <c r="K11" s="14" t="s">
        <v>19</v>
      </c>
      <c r="L11" s="6" t="s">
        <v>236</v>
      </c>
      <c r="M11" s="5">
        <f>2/7</f>
        <v>0.2857142857142857</v>
      </c>
      <c r="N11" s="6" t="s">
        <v>19</v>
      </c>
      <c r="O11" s="5" t="s">
        <v>19</v>
      </c>
      <c r="P11" s="14" t="s">
        <v>19</v>
      </c>
      <c r="Q11" s="15" t="s">
        <v>19</v>
      </c>
      <c r="R11" s="6" t="s">
        <v>19</v>
      </c>
      <c r="S11" s="5" t="s">
        <v>19</v>
      </c>
      <c r="T11" s="6" t="s">
        <v>19</v>
      </c>
      <c r="U11" s="5" t="s">
        <v>19</v>
      </c>
      <c r="V11" s="14" t="s">
        <v>19</v>
      </c>
      <c r="W11" s="15" t="s">
        <v>19</v>
      </c>
      <c r="X11" s="6" t="s">
        <v>19</v>
      </c>
      <c r="Y11" s="5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6" t="s">
        <v>237</v>
      </c>
      <c r="C13" s="5">
        <f>98/105</f>
        <v>0.93333333333333335</v>
      </c>
      <c r="D13" s="14" t="s">
        <v>280</v>
      </c>
      <c r="E13" s="15">
        <f>23/105</f>
        <v>0.21904761904761905</v>
      </c>
      <c r="F13" s="6" t="s">
        <v>238</v>
      </c>
      <c r="G13" s="5">
        <f>69/105</f>
        <v>0.65714285714285714</v>
      </c>
      <c r="H13" s="6" t="s">
        <v>239</v>
      </c>
      <c r="I13" s="5">
        <f>98/101</f>
        <v>0.97029702970297027</v>
      </c>
      <c r="J13" s="14" t="s">
        <v>253</v>
      </c>
      <c r="K13" s="15">
        <f>23/23</f>
        <v>1</v>
      </c>
      <c r="L13" s="6" t="s">
        <v>240</v>
      </c>
      <c r="M13" s="5">
        <f>69/102</f>
        <v>0.67647058823529416</v>
      </c>
      <c r="N13" s="6" t="s">
        <v>241</v>
      </c>
      <c r="O13" s="5">
        <f>155/216</f>
        <v>0.71759259259259256</v>
      </c>
      <c r="P13" s="14" t="s">
        <v>289</v>
      </c>
      <c r="Q13" s="15">
        <f>26/216</f>
        <v>0.12037037037037036</v>
      </c>
      <c r="R13" s="6" t="s">
        <v>242</v>
      </c>
      <c r="S13" s="5">
        <f>139/216</f>
        <v>0.64351851851851849</v>
      </c>
      <c r="T13" s="6" t="s">
        <v>243</v>
      </c>
      <c r="U13" s="5">
        <f>155/163</f>
        <v>0.95092024539877296</v>
      </c>
      <c r="V13" s="14" t="s">
        <v>136</v>
      </c>
      <c r="W13" s="15">
        <f>26/28</f>
        <v>0.9285714285714286</v>
      </c>
      <c r="X13" s="6" t="s">
        <v>244</v>
      </c>
      <c r="Y13" s="5">
        <f>139/213</f>
        <v>0.65258215962441313</v>
      </c>
    </row>
    <row r="14" spans="1:25" ht="15.75" x14ac:dyDescent="0.25">
      <c r="A14" s="3" t="s">
        <v>65</v>
      </c>
      <c r="B14" s="6" t="s">
        <v>245</v>
      </c>
      <c r="C14" s="5">
        <f>53/58</f>
        <v>0.91379310344827591</v>
      </c>
      <c r="D14" s="14" t="s">
        <v>281</v>
      </c>
      <c r="E14" s="15">
        <f>5/58</f>
        <v>8.6206896551724144E-2</v>
      </c>
      <c r="F14" s="6" t="s">
        <v>246</v>
      </c>
      <c r="G14" s="5">
        <f>26/58</f>
        <v>0.44827586206896552</v>
      </c>
      <c r="H14" s="6" t="s">
        <v>247</v>
      </c>
      <c r="I14" s="5">
        <f>53/53</f>
        <v>1</v>
      </c>
      <c r="J14" s="14" t="s">
        <v>17</v>
      </c>
      <c r="K14" s="15">
        <f>5/5</f>
        <v>1</v>
      </c>
      <c r="L14" s="6" t="s">
        <v>248</v>
      </c>
      <c r="M14" s="5">
        <f>26/45</f>
        <v>0.57777777777777772</v>
      </c>
      <c r="N14" s="6" t="s">
        <v>249</v>
      </c>
      <c r="O14" s="5">
        <f>22/38</f>
        <v>0.57894736842105265</v>
      </c>
      <c r="P14" s="14" t="s">
        <v>290</v>
      </c>
      <c r="Q14" s="15">
        <f>4/38</f>
        <v>0.10526315789473684</v>
      </c>
      <c r="R14" s="6" t="s">
        <v>250</v>
      </c>
      <c r="S14" s="5">
        <f>20/38</f>
        <v>0.52631578947368418</v>
      </c>
      <c r="T14" s="6" t="s">
        <v>251</v>
      </c>
      <c r="U14" s="5">
        <f>22/25</f>
        <v>0.88</v>
      </c>
      <c r="V14" s="14" t="s">
        <v>159</v>
      </c>
      <c r="W14" s="15">
        <f>4/6</f>
        <v>0.66666666666666663</v>
      </c>
      <c r="X14" s="6" t="s">
        <v>252</v>
      </c>
      <c r="Y14" s="5">
        <f>20/68</f>
        <v>0.29411764705882354</v>
      </c>
    </row>
    <row r="15" spans="1:25" ht="15.75" x14ac:dyDescent="0.25">
      <c r="A15" s="3"/>
      <c r="B15" s="9"/>
      <c r="C15" s="10"/>
      <c r="D15" s="9"/>
      <c r="E15" s="10"/>
      <c r="F15" s="9"/>
      <c r="G15" s="10"/>
      <c r="H15" s="9"/>
      <c r="I15" s="10"/>
      <c r="J15" s="9"/>
      <c r="K15" s="10"/>
      <c r="L15" s="9"/>
      <c r="M15" s="10"/>
      <c r="N15" s="9"/>
      <c r="O15" s="10"/>
      <c r="P15" s="9"/>
      <c r="Q15" s="10"/>
      <c r="R15" s="9"/>
      <c r="S15" s="10"/>
      <c r="T15" s="9"/>
      <c r="U15" s="10"/>
      <c r="V15" s="9"/>
      <c r="W15" s="10"/>
      <c r="X15" s="9"/>
      <c r="Y15" s="10"/>
    </row>
    <row r="16" spans="1:25" ht="15.75" x14ac:dyDescent="0.25">
      <c r="A16" s="3"/>
      <c r="V16" s="11"/>
      <c r="W16" s="12"/>
      <c r="X16" s="11"/>
      <c r="Y16" s="12"/>
    </row>
    <row r="17" spans="1:25" ht="18.75" x14ac:dyDescent="0.3">
      <c r="A17" s="1" t="s">
        <v>74</v>
      </c>
      <c r="V17" s="13"/>
      <c r="X17" s="13"/>
    </row>
    <row r="18" spans="1:25" ht="15.75" x14ac:dyDescent="0.25">
      <c r="B18" s="25" t="s">
        <v>1</v>
      </c>
      <c r="C18" s="25"/>
      <c r="D18" s="25" t="s">
        <v>108</v>
      </c>
      <c r="E18" s="25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18"/>
      <c r="E19" s="15"/>
      <c r="F19" s="4"/>
      <c r="G19" s="5"/>
      <c r="H19" s="4"/>
      <c r="I19" s="5"/>
      <c r="J19" s="18"/>
      <c r="K19" s="15"/>
      <c r="L19" s="4"/>
      <c r="M19" s="5"/>
      <c r="N19" s="4"/>
      <c r="O19" s="5"/>
      <c r="P19" s="18"/>
      <c r="Q19" s="1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D20" s="18"/>
      <c r="E20" s="15"/>
      <c r="F20" s="4"/>
      <c r="G20" s="5"/>
      <c r="H20" s="4"/>
      <c r="I20" s="5"/>
      <c r="J20" s="18"/>
      <c r="K20" s="15"/>
      <c r="L20" s="4"/>
      <c r="M20" s="5"/>
      <c r="N20" s="4"/>
      <c r="O20" s="5"/>
      <c r="P20" s="18"/>
      <c r="Q20" s="1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6" t="s">
        <v>17</v>
      </c>
      <c r="C21" s="5">
        <f>5/5</f>
        <v>1</v>
      </c>
      <c r="D21" s="14" t="s">
        <v>208</v>
      </c>
      <c r="E21" s="15">
        <f>0/5</f>
        <v>0</v>
      </c>
      <c r="F21" s="6" t="s">
        <v>183</v>
      </c>
      <c r="G21" s="5">
        <f>3/5</f>
        <v>0.6</v>
      </c>
      <c r="H21" s="6" t="s">
        <v>17</v>
      </c>
      <c r="I21" s="5">
        <f>5/5</f>
        <v>1</v>
      </c>
      <c r="J21" s="14" t="s">
        <v>18</v>
      </c>
      <c r="K21" s="14" t="s">
        <v>19</v>
      </c>
      <c r="L21" s="6" t="s">
        <v>123</v>
      </c>
      <c r="M21" s="5">
        <f>3/3</f>
        <v>1</v>
      </c>
      <c r="N21" s="6" t="s">
        <v>19</v>
      </c>
      <c r="O21" s="6" t="s">
        <v>19</v>
      </c>
      <c r="P21" s="14" t="s">
        <v>19</v>
      </c>
      <c r="Q21" s="14" t="s">
        <v>19</v>
      </c>
      <c r="R21" s="6" t="s">
        <v>19</v>
      </c>
      <c r="S21" s="6" t="s">
        <v>19</v>
      </c>
      <c r="T21" s="6" t="s">
        <v>19</v>
      </c>
      <c r="U21" s="6" t="s">
        <v>19</v>
      </c>
      <c r="V21" s="14" t="s">
        <v>19</v>
      </c>
      <c r="W21" s="14" t="s">
        <v>19</v>
      </c>
      <c r="X21" s="6" t="s">
        <v>19</v>
      </c>
      <c r="Y21" s="6" t="s">
        <v>19</v>
      </c>
    </row>
    <row r="22" spans="1:25" ht="15.75" x14ac:dyDescent="0.25">
      <c r="A22" s="3" t="s">
        <v>20</v>
      </c>
      <c r="B22" s="6" t="s">
        <v>21</v>
      </c>
      <c r="C22" s="6" t="s">
        <v>22</v>
      </c>
      <c r="D22" s="14" t="s">
        <v>23</v>
      </c>
      <c r="E22" s="14" t="s">
        <v>16</v>
      </c>
      <c r="F22" s="6" t="s">
        <v>23</v>
      </c>
      <c r="G22" s="6" t="s">
        <v>16</v>
      </c>
      <c r="H22" s="6" t="s">
        <v>21</v>
      </c>
      <c r="I22" s="5">
        <f>1/1</f>
        <v>1</v>
      </c>
      <c r="J22" s="14" t="s">
        <v>18</v>
      </c>
      <c r="K22" s="14" t="s">
        <v>19</v>
      </c>
      <c r="L22" s="6" t="s">
        <v>18</v>
      </c>
      <c r="M22" s="6" t="s">
        <v>19</v>
      </c>
      <c r="N22" s="6" t="s">
        <v>19</v>
      </c>
      <c r="O22" s="6" t="s">
        <v>19</v>
      </c>
      <c r="P22" s="14" t="s">
        <v>19</v>
      </c>
      <c r="Q22" s="14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14" t="s">
        <v>19</v>
      </c>
      <c r="W22" s="14" t="s">
        <v>19</v>
      </c>
      <c r="X22" s="6" t="s">
        <v>19</v>
      </c>
      <c r="Y22" s="6" t="s">
        <v>19</v>
      </c>
    </row>
    <row r="23" spans="1:25" ht="15.75" x14ac:dyDescent="0.25">
      <c r="A23" s="3" t="s">
        <v>26</v>
      </c>
      <c r="B23" s="6" t="s">
        <v>18</v>
      </c>
      <c r="C23" s="6" t="s">
        <v>19</v>
      </c>
      <c r="D23" s="14" t="s">
        <v>18</v>
      </c>
      <c r="E23" s="14" t="s">
        <v>19</v>
      </c>
      <c r="F23" s="6" t="s">
        <v>18</v>
      </c>
      <c r="G23" s="6" t="s">
        <v>19</v>
      </c>
      <c r="H23" s="6" t="s">
        <v>18</v>
      </c>
      <c r="I23" s="6" t="s">
        <v>19</v>
      </c>
      <c r="J23" s="14" t="s">
        <v>18</v>
      </c>
      <c r="K23" s="14" t="s">
        <v>19</v>
      </c>
      <c r="L23" s="6" t="s">
        <v>23</v>
      </c>
      <c r="M23" s="5">
        <f>0/1</f>
        <v>0</v>
      </c>
      <c r="N23" s="6" t="s">
        <v>18</v>
      </c>
      <c r="O23" s="6" t="s">
        <v>19</v>
      </c>
      <c r="P23" s="14" t="s">
        <v>18</v>
      </c>
      <c r="Q23" s="14" t="s">
        <v>19</v>
      </c>
      <c r="R23" s="6" t="s">
        <v>18</v>
      </c>
      <c r="S23" s="6" t="s">
        <v>19</v>
      </c>
      <c r="T23" s="6" t="s">
        <v>18</v>
      </c>
      <c r="U23" s="6" t="s">
        <v>19</v>
      </c>
      <c r="V23" s="14" t="s">
        <v>18</v>
      </c>
      <c r="W23" s="14" t="s">
        <v>19</v>
      </c>
      <c r="X23" s="6" t="s">
        <v>215</v>
      </c>
      <c r="Y23" s="5">
        <f>0/3</f>
        <v>0</v>
      </c>
    </row>
    <row r="24" spans="1:25" ht="15.75" x14ac:dyDescent="0.25">
      <c r="A24" s="3" t="s">
        <v>27</v>
      </c>
      <c r="B24" s="6" t="s">
        <v>253</v>
      </c>
      <c r="C24" s="5">
        <f>23/23</f>
        <v>1</v>
      </c>
      <c r="D24" s="14" t="s">
        <v>282</v>
      </c>
      <c r="E24" s="15">
        <f>5/23</f>
        <v>0.21739130434782608</v>
      </c>
      <c r="F24" s="6" t="s">
        <v>219</v>
      </c>
      <c r="G24" s="5">
        <f>12/23</f>
        <v>0.52173913043478259</v>
      </c>
      <c r="H24" s="6" t="s">
        <v>253</v>
      </c>
      <c r="I24" s="5">
        <f>23/23</f>
        <v>1</v>
      </c>
      <c r="J24" s="14" t="s">
        <v>17</v>
      </c>
      <c r="K24" s="15">
        <f>5/5</f>
        <v>1</v>
      </c>
      <c r="L24" s="6" t="s">
        <v>219</v>
      </c>
      <c r="M24" s="5">
        <f>12/23</f>
        <v>0.52173913043478259</v>
      </c>
      <c r="N24" s="6" t="s">
        <v>137</v>
      </c>
      <c r="O24" s="5">
        <f>13/20</f>
        <v>0.65</v>
      </c>
      <c r="P24" s="14" t="s">
        <v>147</v>
      </c>
      <c r="Q24" s="15">
        <f>4/20</f>
        <v>0.2</v>
      </c>
      <c r="R24" s="6" t="s">
        <v>254</v>
      </c>
      <c r="S24" s="5">
        <f>14/20</f>
        <v>0.7</v>
      </c>
      <c r="T24" s="6" t="s">
        <v>138</v>
      </c>
      <c r="U24" s="5">
        <f>13/13</f>
        <v>1</v>
      </c>
      <c r="V24" s="14" t="s">
        <v>159</v>
      </c>
      <c r="W24" s="15">
        <f>4/6</f>
        <v>0.66666666666666663</v>
      </c>
      <c r="X24" s="6" t="s">
        <v>221</v>
      </c>
      <c r="Y24" s="5">
        <f>14/47</f>
        <v>0.2978723404255319</v>
      </c>
    </row>
    <row r="25" spans="1:25" ht="15.75" x14ac:dyDescent="0.25">
      <c r="A25" s="3" t="s">
        <v>36</v>
      </c>
      <c r="B25" s="6" t="s">
        <v>40</v>
      </c>
      <c r="C25" s="5">
        <f>6/7</f>
        <v>0.8571428571428571</v>
      </c>
      <c r="D25" s="14" t="s">
        <v>119</v>
      </c>
      <c r="E25" s="15">
        <f>0/7</f>
        <v>0</v>
      </c>
      <c r="F25" s="6" t="s">
        <v>82</v>
      </c>
      <c r="G25" s="5">
        <f>7/7</f>
        <v>1</v>
      </c>
      <c r="H25" s="6" t="s">
        <v>41</v>
      </c>
      <c r="I25" s="5">
        <f>6/6</f>
        <v>1</v>
      </c>
      <c r="J25" s="14" t="s">
        <v>18</v>
      </c>
      <c r="K25" s="14" t="s">
        <v>19</v>
      </c>
      <c r="L25" s="6" t="s">
        <v>39</v>
      </c>
      <c r="M25" s="5">
        <f>7/9</f>
        <v>0.77777777777777779</v>
      </c>
      <c r="N25" s="6" t="s">
        <v>255</v>
      </c>
      <c r="O25" s="5">
        <f>4/8</f>
        <v>0.5</v>
      </c>
      <c r="P25" s="14" t="s">
        <v>113</v>
      </c>
      <c r="Q25" s="15">
        <f>0/8</f>
        <v>0</v>
      </c>
      <c r="R25" s="6" t="s">
        <v>83</v>
      </c>
      <c r="S25" s="5">
        <f>6/8</f>
        <v>0.75</v>
      </c>
      <c r="T25" s="6" t="s">
        <v>133</v>
      </c>
      <c r="U25" s="5">
        <f>4/7</f>
        <v>0.5714285714285714</v>
      </c>
      <c r="V25" s="14" t="s">
        <v>18</v>
      </c>
      <c r="W25" s="14" t="s">
        <v>19</v>
      </c>
      <c r="X25" s="6" t="s">
        <v>256</v>
      </c>
      <c r="Y25" s="5">
        <f>6/17</f>
        <v>0.35294117647058826</v>
      </c>
    </row>
    <row r="26" spans="1:25" ht="15.75" x14ac:dyDescent="0.25">
      <c r="A26" s="3" t="s">
        <v>43</v>
      </c>
      <c r="B26" s="6" t="s">
        <v>257</v>
      </c>
      <c r="C26" s="5">
        <f>35/36</f>
        <v>0.97222222222222221</v>
      </c>
      <c r="D26" s="14" t="s">
        <v>283</v>
      </c>
      <c r="E26" s="15">
        <f>18/36</f>
        <v>0.5</v>
      </c>
      <c r="F26" s="6" t="s">
        <v>257</v>
      </c>
      <c r="G26" s="5">
        <f>35/36</f>
        <v>0.97222222222222221</v>
      </c>
      <c r="H26" s="6" t="s">
        <v>258</v>
      </c>
      <c r="I26" s="5">
        <f>35/38</f>
        <v>0.92105263157894735</v>
      </c>
      <c r="J26" s="14" t="s">
        <v>125</v>
      </c>
      <c r="K26" s="15">
        <f>18/18</f>
        <v>1</v>
      </c>
      <c r="L26" s="6" t="s">
        <v>259</v>
      </c>
      <c r="M26" s="5">
        <f>35/45</f>
        <v>0.77777777777777779</v>
      </c>
      <c r="N26" s="6" t="s">
        <v>260</v>
      </c>
      <c r="O26" s="5">
        <f>127/166</f>
        <v>0.76506024096385539</v>
      </c>
      <c r="P26" s="14" t="s">
        <v>291</v>
      </c>
      <c r="Q26" s="15">
        <f>22/166</f>
        <v>0.13253012048192772</v>
      </c>
      <c r="R26" s="6" t="s">
        <v>261</v>
      </c>
      <c r="S26" s="5">
        <f>112/166</f>
        <v>0.67469879518072284</v>
      </c>
      <c r="T26" s="6" t="s">
        <v>262</v>
      </c>
      <c r="U26" s="5">
        <f>127/132</f>
        <v>0.96212121212121215</v>
      </c>
      <c r="V26" s="14" t="s">
        <v>140</v>
      </c>
      <c r="W26" s="15">
        <f>22/22</f>
        <v>1</v>
      </c>
      <c r="X26" s="6" t="s">
        <v>263</v>
      </c>
      <c r="Y26" s="5">
        <f>112/136</f>
        <v>0.82352941176470584</v>
      </c>
    </row>
    <row r="27" spans="1:25" ht="15.75" x14ac:dyDescent="0.25">
      <c r="A27" s="3" t="s">
        <v>52</v>
      </c>
      <c r="B27" s="6" t="s">
        <v>41</v>
      </c>
      <c r="C27" s="5">
        <f>6/6</f>
        <v>1</v>
      </c>
      <c r="D27" s="14" t="s">
        <v>15</v>
      </c>
      <c r="E27" s="15">
        <f>0/6</f>
        <v>0</v>
      </c>
      <c r="F27" s="6" t="s">
        <v>151</v>
      </c>
      <c r="G27" s="5">
        <f>2/6</f>
        <v>0.33333333333333331</v>
      </c>
      <c r="H27" s="6" t="s">
        <v>41</v>
      </c>
      <c r="I27" s="5">
        <f>6/6</f>
        <v>1</v>
      </c>
      <c r="J27" s="14" t="s">
        <v>18</v>
      </c>
      <c r="K27" s="14" t="s">
        <v>19</v>
      </c>
      <c r="L27" s="6" t="s">
        <v>236</v>
      </c>
      <c r="M27" s="5">
        <f>2/7</f>
        <v>0.2857142857142857</v>
      </c>
      <c r="N27" s="6" t="s">
        <v>19</v>
      </c>
      <c r="O27" s="5" t="s">
        <v>19</v>
      </c>
      <c r="P27" s="14" t="s">
        <v>19</v>
      </c>
      <c r="Q27" s="15" t="s">
        <v>19</v>
      </c>
      <c r="R27" s="6" t="s">
        <v>19</v>
      </c>
      <c r="S27" s="5" t="s">
        <v>19</v>
      </c>
      <c r="T27" s="6" t="s">
        <v>19</v>
      </c>
      <c r="U27" s="5" t="s">
        <v>19</v>
      </c>
      <c r="V27" s="14" t="s">
        <v>19</v>
      </c>
      <c r="W27" s="15" t="s">
        <v>19</v>
      </c>
      <c r="X27" s="6" t="s">
        <v>19</v>
      </c>
      <c r="Y27" s="5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6" t="s">
        <v>264</v>
      </c>
      <c r="C29" s="5">
        <f>76/78</f>
        <v>0.97435897435897434</v>
      </c>
      <c r="D29" s="14" t="s">
        <v>284</v>
      </c>
      <c r="E29" s="15">
        <f>23/78</f>
        <v>0.29487179487179488</v>
      </c>
      <c r="F29" s="6" t="s">
        <v>265</v>
      </c>
      <c r="G29" s="5">
        <f>59/78</f>
        <v>0.75641025641025639</v>
      </c>
      <c r="H29" s="6" t="s">
        <v>266</v>
      </c>
      <c r="I29" s="5">
        <f>76/79</f>
        <v>0.96202531645569622</v>
      </c>
      <c r="J29" s="14" t="s">
        <v>253</v>
      </c>
      <c r="K29" s="15">
        <f>23/23</f>
        <v>1</v>
      </c>
      <c r="L29" s="6" t="s">
        <v>267</v>
      </c>
      <c r="M29" s="5">
        <f>59/88</f>
        <v>0.67045454545454541</v>
      </c>
      <c r="N29" s="6" t="s">
        <v>268</v>
      </c>
      <c r="O29" s="5">
        <f>144/194</f>
        <v>0.74226804123711343</v>
      </c>
      <c r="P29" s="14" t="s">
        <v>292</v>
      </c>
      <c r="Q29" s="15">
        <f>26/194</f>
        <v>0.13402061855670103</v>
      </c>
      <c r="R29" s="6" t="s">
        <v>269</v>
      </c>
      <c r="S29" s="5">
        <f>132/194</f>
        <v>0.68041237113402064</v>
      </c>
      <c r="T29" s="6" t="s">
        <v>270</v>
      </c>
      <c r="U29" s="5">
        <f>144/152</f>
        <v>0.94736842105263153</v>
      </c>
      <c r="V29" s="14" t="s">
        <v>136</v>
      </c>
      <c r="W29" s="15">
        <f>26/28</f>
        <v>0.9285714285714286</v>
      </c>
      <c r="X29" s="6" t="s">
        <v>448</v>
      </c>
      <c r="Y29" s="5">
        <f>132/203</f>
        <v>0.65024630541871919</v>
      </c>
    </row>
    <row r="30" spans="1:25" ht="15.75" x14ac:dyDescent="0.25">
      <c r="A30" s="3" t="s">
        <v>65</v>
      </c>
      <c r="B30" s="6" t="s">
        <v>271</v>
      </c>
      <c r="C30" s="5">
        <f>41/42</f>
        <v>0.97619047619047616</v>
      </c>
      <c r="D30" s="14" t="s">
        <v>285</v>
      </c>
      <c r="E30" s="15">
        <f>5/42</f>
        <v>0.11904761904761904</v>
      </c>
      <c r="F30" s="6" t="s">
        <v>272</v>
      </c>
      <c r="G30" s="5">
        <f>24/42</f>
        <v>0.5714285714285714</v>
      </c>
      <c r="H30" s="6" t="s">
        <v>273</v>
      </c>
      <c r="I30" s="5">
        <f>41/41</f>
        <v>1</v>
      </c>
      <c r="J30" s="14" t="s">
        <v>17</v>
      </c>
      <c r="K30" s="15">
        <f>5/5</f>
        <v>1</v>
      </c>
      <c r="L30" s="6" t="s">
        <v>274</v>
      </c>
      <c r="M30" s="5">
        <f>24/43</f>
        <v>0.55813953488372092</v>
      </c>
      <c r="N30" s="6" t="s">
        <v>275</v>
      </c>
      <c r="O30" s="5">
        <f>17/28</f>
        <v>0.6071428571428571</v>
      </c>
      <c r="P30" s="14" t="s">
        <v>293</v>
      </c>
      <c r="Q30" s="15">
        <f>4/28</f>
        <v>0.14285714285714285</v>
      </c>
      <c r="R30" s="6" t="s">
        <v>276</v>
      </c>
      <c r="S30" s="5">
        <f>20/28</f>
        <v>0.7142857142857143</v>
      </c>
      <c r="T30" s="6" t="s">
        <v>277</v>
      </c>
      <c r="U30" s="5">
        <f>17/20</f>
        <v>0.85</v>
      </c>
      <c r="V30" s="14" t="s">
        <v>159</v>
      </c>
      <c r="W30" s="15">
        <f>4/6</f>
        <v>0.66666666666666663</v>
      </c>
      <c r="X30" s="6" t="s">
        <v>447</v>
      </c>
      <c r="Y30" s="5">
        <f>20/67</f>
        <v>0.29850746268656714</v>
      </c>
    </row>
  </sheetData>
  <mergeCells count="24">
    <mergeCell ref="R2:S2"/>
    <mergeCell ref="D2:E2"/>
    <mergeCell ref="V2:W2"/>
    <mergeCell ref="V18:W18"/>
    <mergeCell ref="T2:U2"/>
    <mergeCell ref="P2:Q2"/>
    <mergeCell ref="P18:Q18"/>
    <mergeCell ref="N2:O2"/>
    <mergeCell ref="X2:Y2"/>
    <mergeCell ref="B18:C18"/>
    <mergeCell ref="F18:G18"/>
    <mergeCell ref="H18:I18"/>
    <mergeCell ref="L18:M18"/>
    <mergeCell ref="N18:O18"/>
    <mergeCell ref="R18:S18"/>
    <mergeCell ref="T18:U18"/>
    <mergeCell ref="X18:Y18"/>
    <mergeCell ref="B2:C2"/>
    <mergeCell ref="F2:G2"/>
    <mergeCell ref="H2:I2"/>
    <mergeCell ref="L2:M2"/>
    <mergeCell ref="D18:E18"/>
    <mergeCell ref="J2:K2"/>
    <mergeCell ref="J18:K1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/>
  </sheetViews>
  <sheetFormatPr defaultColWidth="9.140625" defaultRowHeight="15" x14ac:dyDescent="0.25"/>
  <cols>
    <col min="1" max="1" width="15.42578125" style="2" customWidth="1"/>
    <col min="2" max="22" width="12.85546875" style="2" customWidth="1"/>
    <col min="23" max="23" width="13" style="2" customWidth="1"/>
    <col min="24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5" t="s">
        <v>108</v>
      </c>
      <c r="E2" s="25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18"/>
      <c r="E3" s="15"/>
      <c r="F3" s="4"/>
      <c r="G3" s="5"/>
      <c r="H3" s="4"/>
      <c r="I3" s="5"/>
      <c r="J3" s="18"/>
      <c r="K3" s="15"/>
      <c r="L3" s="4"/>
      <c r="M3" s="5"/>
      <c r="N3" s="4"/>
      <c r="O3" s="5"/>
      <c r="P3" s="18"/>
      <c r="Q3" s="15"/>
      <c r="R3" s="4"/>
      <c r="S3" s="5"/>
      <c r="T3" s="4"/>
      <c r="U3" s="5"/>
      <c r="V3" s="18"/>
      <c r="W3" s="1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18"/>
      <c r="E4" s="15"/>
      <c r="F4" s="4"/>
      <c r="G4" s="5"/>
      <c r="H4" s="4"/>
      <c r="I4" s="5"/>
      <c r="J4" s="18"/>
      <c r="K4" s="15"/>
      <c r="L4" s="4"/>
      <c r="M4" s="5"/>
      <c r="N4" s="4"/>
      <c r="O4" s="5"/>
      <c r="P4" s="18"/>
      <c r="Q4" s="15"/>
      <c r="R4" s="4"/>
      <c r="S4" s="5"/>
      <c r="T4" s="4"/>
      <c r="U4" s="5"/>
      <c r="V4" s="18"/>
      <c r="W4" s="15"/>
      <c r="X4" s="4"/>
      <c r="Y4" s="5"/>
    </row>
    <row r="5" spans="1:25" ht="15.75" x14ac:dyDescent="0.25">
      <c r="A5" s="3" t="s">
        <v>12</v>
      </c>
      <c r="B5" s="21" t="s">
        <v>41</v>
      </c>
      <c r="C5" s="22">
        <f>6/6</f>
        <v>1</v>
      </c>
      <c r="D5" s="14" t="s">
        <v>15</v>
      </c>
      <c r="E5" s="15">
        <f>0/6</f>
        <v>0</v>
      </c>
      <c r="F5" s="21" t="s">
        <v>15</v>
      </c>
      <c r="G5" s="22">
        <f>0/6</f>
        <v>0</v>
      </c>
      <c r="H5" s="21" t="s">
        <v>41</v>
      </c>
      <c r="I5" s="22">
        <f>6/6</f>
        <v>1</v>
      </c>
      <c r="J5" s="14" t="s">
        <v>18</v>
      </c>
      <c r="K5" s="14" t="s">
        <v>19</v>
      </c>
      <c r="L5" s="21" t="s">
        <v>18</v>
      </c>
      <c r="M5" s="21" t="s">
        <v>19</v>
      </c>
      <c r="N5" s="21" t="s">
        <v>19</v>
      </c>
      <c r="O5" s="21" t="s">
        <v>19</v>
      </c>
      <c r="P5" s="14" t="s">
        <v>19</v>
      </c>
      <c r="Q5" s="14" t="s">
        <v>19</v>
      </c>
      <c r="R5" s="21" t="s">
        <v>19</v>
      </c>
      <c r="S5" s="21" t="s">
        <v>19</v>
      </c>
      <c r="T5" s="21" t="s">
        <v>19</v>
      </c>
      <c r="U5" s="21" t="s">
        <v>19</v>
      </c>
      <c r="V5" s="14" t="s">
        <v>19</v>
      </c>
      <c r="W5" s="14" t="s">
        <v>19</v>
      </c>
      <c r="X5" s="21" t="s">
        <v>19</v>
      </c>
      <c r="Y5" s="21" t="s">
        <v>19</v>
      </c>
    </row>
    <row r="6" spans="1:25" ht="15.75" x14ac:dyDescent="0.25">
      <c r="A6" s="3" t="s">
        <v>20</v>
      </c>
      <c r="B6" s="21" t="s">
        <v>21</v>
      </c>
      <c r="C6" s="21" t="s">
        <v>22</v>
      </c>
      <c r="D6" s="14" t="s">
        <v>23</v>
      </c>
      <c r="E6" s="14" t="s">
        <v>16</v>
      </c>
      <c r="F6" s="21" t="s">
        <v>23</v>
      </c>
      <c r="G6" s="21" t="s">
        <v>16</v>
      </c>
      <c r="H6" s="21" t="s">
        <v>294</v>
      </c>
      <c r="I6" s="22">
        <f>1/2</f>
        <v>0.5</v>
      </c>
      <c r="J6" s="14" t="s">
        <v>18</v>
      </c>
      <c r="K6" s="14" t="s">
        <v>19</v>
      </c>
      <c r="L6" s="21" t="s">
        <v>18</v>
      </c>
      <c r="M6" s="21" t="s">
        <v>19</v>
      </c>
      <c r="N6" s="21" t="s">
        <v>19</v>
      </c>
      <c r="O6" s="21" t="s">
        <v>19</v>
      </c>
      <c r="P6" s="14" t="s">
        <v>19</v>
      </c>
      <c r="Q6" s="14" t="s">
        <v>19</v>
      </c>
      <c r="R6" s="21" t="s">
        <v>19</v>
      </c>
      <c r="S6" s="21" t="s">
        <v>19</v>
      </c>
      <c r="T6" s="21" t="s">
        <v>19</v>
      </c>
      <c r="U6" s="21" t="s">
        <v>19</v>
      </c>
      <c r="V6" s="14" t="s">
        <v>19</v>
      </c>
      <c r="W6" s="14" t="s">
        <v>19</v>
      </c>
      <c r="X6" s="21" t="s">
        <v>19</v>
      </c>
      <c r="Y6" s="21" t="s">
        <v>19</v>
      </c>
    </row>
    <row r="7" spans="1:25" ht="15.75" x14ac:dyDescent="0.25">
      <c r="A7" s="3" t="s">
        <v>26</v>
      </c>
      <c r="B7" s="21" t="s">
        <v>23</v>
      </c>
      <c r="C7" s="22">
        <f>0/1</f>
        <v>0</v>
      </c>
      <c r="D7" s="14" t="s">
        <v>23</v>
      </c>
      <c r="E7" s="15">
        <f>0/1</f>
        <v>0</v>
      </c>
      <c r="F7" s="21" t="s">
        <v>21</v>
      </c>
      <c r="G7" s="22">
        <f>1/1</f>
        <v>1</v>
      </c>
      <c r="H7" s="21" t="s">
        <v>18</v>
      </c>
      <c r="I7" s="21" t="s">
        <v>19</v>
      </c>
      <c r="J7" s="14" t="s">
        <v>18</v>
      </c>
      <c r="K7" s="14" t="s">
        <v>19</v>
      </c>
      <c r="L7" s="21" t="s">
        <v>21</v>
      </c>
      <c r="M7" s="22">
        <f>1/1</f>
        <v>1</v>
      </c>
      <c r="N7" s="21" t="s">
        <v>23</v>
      </c>
      <c r="O7" s="22">
        <f>0/1</f>
        <v>0</v>
      </c>
      <c r="P7" s="14" t="s">
        <v>23</v>
      </c>
      <c r="Q7" s="15">
        <f>0/1</f>
        <v>0</v>
      </c>
      <c r="R7" s="21" t="s">
        <v>21</v>
      </c>
      <c r="S7" s="22">
        <f>1/1</f>
        <v>1</v>
      </c>
      <c r="T7" s="21" t="s">
        <v>18</v>
      </c>
      <c r="U7" s="21" t="s">
        <v>19</v>
      </c>
      <c r="V7" s="14" t="s">
        <v>18</v>
      </c>
      <c r="W7" s="14" t="s">
        <v>19</v>
      </c>
      <c r="X7" s="21" t="s">
        <v>21</v>
      </c>
      <c r="Y7" s="22">
        <f>1/1</f>
        <v>1</v>
      </c>
    </row>
    <row r="8" spans="1:25" ht="15.75" x14ac:dyDescent="0.25">
      <c r="A8" s="3" t="s">
        <v>27</v>
      </c>
      <c r="B8" s="23" t="s">
        <v>295</v>
      </c>
      <c r="C8" s="22">
        <f>30/33</f>
        <v>0.90909090909090906</v>
      </c>
      <c r="D8" s="14" t="s">
        <v>342</v>
      </c>
      <c r="E8" s="15">
        <f>3/33</f>
        <v>9.0909090909090912E-2</v>
      </c>
      <c r="F8" s="21" t="s">
        <v>296</v>
      </c>
      <c r="G8" s="22">
        <f>11/33</f>
        <v>0.33333333333333331</v>
      </c>
      <c r="H8" s="21" t="s">
        <v>297</v>
      </c>
      <c r="I8" s="22">
        <f>30/30</f>
        <v>1</v>
      </c>
      <c r="J8" s="14" t="s">
        <v>183</v>
      </c>
      <c r="K8" s="15">
        <f>3/5</f>
        <v>0.6</v>
      </c>
      <c r="L8" s="21" t="s">
        <v>33</v>
      </c>
      <c r="M8" s="22">
        <f>11/20</f>
        <v>0.55000000000000004</v>
      </c>
      <c r="N8" s="21" t="s">
        <v>276</v>
      </c>
      <c r="O8" s="22">
        <f>20/28</f>
        <v>0.7142857142857143</v>
      </c>
      <c r="P8" s="14" t="s">
        <v>353</v>
      </c>
      <c r="Q8" s="15">
        <f>3/28</f>
        <v>0.10714285714285714</v>
      </c>
      <c r="R8" s="21" t="s">
        <v>298</v>
      </c>
      <c r="S8" s="22">
        <f>15/28</f>
        <v>0.5357142857142857</v>
      </c>
      <c r="T8" s="21" t="s">
        <v>178</v>
      </c>
      <c r="U8" s="22">
        <f>20/21</f>
        <v>0.95238095238095233</v>
      </c>
      <c r="V8" s="14" t="s">
        <v>360</v>
      </c>
      <c r="W8" s="15">
        <f>3/9</f>
        <v>0.33333333333333331</v>
      </c>
      <c r="X8" s="21" t="s">
        <v>114</v>
      </c>
      <c r="Y8" s="22">
        <f>15/44</f>
        <v>0.34090909090909088</v>
      </c>
    </row>
    <row r="9" spans="1:25" ht="15.75" x14ac:dyDescent="0.25">
      <c r="A9" s="3" t="s">
        <v>36</v>
      </c>
      <c r="B9" s="21" t="s">
        <v>37</v>
      </c>
      <c r="C9" s="22">
        <f>8/8</f>
        <v>1</v>
      </c>
      <c r="D9" s="14" t="s">
        <v>113</v>
      </c>
      <c r="E9" s="15">
        <f>0/8</f>
        <v>0</v>
      </c>
      <c r="F9" s="21" t="s">
        <v>134</v>
      </c>
      <c r="G9" s="22">
        <f>5/8</f>
        <v>0.625</v>
      </c>
      <c r="H9" s="21" t="s">
        <v>37</v>
      </c>
      <c r="I9" s="22">
        <f>8/8</f>
        <v>1</v>
      </c>
      <c r="J9" s="14" t="s">
        <v>18</v>
      </c>
      <c r="K9" s="14" t="s">
        <v>19</v>
      </c>
      <c r="L9" s="21" t="s">
        <v>134</v>
      </c>
      <c r="M9" s="22">
        <f>5/8</f>
        <v>0.625</v>
      </c>
      <c r="N9" s="21" t="s">
        <v>82</v>
      </c>
      <c r="O9" s="22">
        <f>7/7</f>
        <v>1</v>
      </c>
      <c r="P9" s="14" t="s">
        <v>119</v>
      </c>
      <c r="Q9" s="15">
        <f>0/7</f>
        <v>0</v>
      </c>
      <c r="R9" s="21" t="s">
        <v>133</v>
      </c>
      <c r="S9" s="22">
        <f>4/7</f>
        <v>0.5714285714285714</v>
      </c>
      <c r="T9" s="21" t="s">
        <v>82</v>
      </c>
      <c r="U9" s="22">
        <f>7/7</f>
        <v>1</v>
      </c>
      <c r="V9" s="14" t="s">
        <v>18</v>
      </c>
      <c r="W9" s="14" t="s">
        <v>19</v>
      </c>
      <c r="X9" s="21" t="s">
        <v>299</v>
      </c>
      <c r="Y9" s="22">
        <f>4/10</f>
        <v>0.4</v>
      </c>
    </row>
    <row r="10" spans="1:25" ht="15.75" x14ac:dyDescent="0.25">
      <c r="A10" s="3" t="s">
        <v>43</v>
      </c>
      <c r="B10" s="21" t="s">
        <v>161</v>
      </c>
      <c r="C10" s="22">
        <f>49/51</f>
        <v>0.96078431372549022</v>
      </c>
      <c r="D10" s="14" t="s">
        <v>343</v>
      </c>
      <c r="E10" s="15">
        <f>19/51</f>
        <v>0.37254901960784315</v>
      </c>
      <c r="F10" s="21" t="s">
        <v>300</v>
      </c>
      <c r="G10" s="22">
        <f>46/51</f>
        <v>0.90196078431372551</v>
      </c>
      <c r="H10" s="21" t="s">
        <v>301</v>
      </c>
      <c r="I10" s="22">
        <f>49/50</f>
        <v>0.98</v>
      </c>
      <c r="J10" s="14" t="s">
        <v>350</v>
      </c>
      <c r="K10" s="15">
        <f>19/21</f>
        <v>0.90476190476190477</v>
      </c>
      <c r="L10" s="21" t="s">
        <v>302</v>
      </c>
      <c r="M10" s="22">
        <f>46/58</f>
        <v>0.7931034482758621</v>
      </c>
      <c r="N10" s="21" t="s">
        <v>303</v>
      </c>
      <c r="O10" s="22">
        <f>139/196</f>
        <v>0.70918367346938771</v>
      </c>
      <c r="P10" s="14" t="s">
        <v>354</v>
      </c>
      <c r="Q10" s="15">
        <f>21/196</f>
        <v>0.10714285714285714</v>
      </c>
      <c r="R10" s="21" t="s">
        <v>304</v>
      </c>
      <c r="S10" s="22">
        <f>138/196</f>
        <v>0.70408163265306123</v>
      </c>
      <c r="T10" s="21" t="s">
        <v>305</v>
      </c>
      <c r="U10" s="22">
        <f>139/140</f>
        <v>0.99285714285714288</v>
      </c>
      <c r="V10" s="14" t="s">
        <v>141</v>
      </c>
      <c r="W10" s="15">
        <f>21/23</f>
        <v>0.91304347826086951</v>
      </c>
      <c r="X10" s="21" t="s">
        <v>306</v>
      </c>
      <c r="Y10" s="22">
        <f>138/163</f>
        <v>0.84662576687116564</v>
      </c>
    </row>
    <row r="11" spans="1:25" ht="15.75" x14ac:dyDescent="0.25">
      <c r="A11" s="3" t="s">
        <v>52</v>
      </c>
      <c r="B11" s="21" t="s">
        <v>37</v>
      </c>
      <c r="C11" s="22">
        <f>8/8</f>
        <v>1</v>
      </c>
      <c r="D11" s="14" t="s">
        <v>113</v>
      </c>
      <c r="E11" s="15">
        <f>0/8</f>
        <v>0</v>
      </c>
      <c r="F11" s="21" t="s">
        <v>166</v>
      </c>
      <c r="G11" s="22">
        <f>1/8</f>
        <v>0.125</v>
      </c>
      <c r="H11" s="21" t="s">
        <v>37</v>
      </c>
      <c r="I11" s="22">
        <f>8/8</f>
        <v>1</v>
      </c>
      <c r="J11" s="14" t="s">
        <v>18</v>
      </c>
      <c r="K11" s="14" t="s">
        <v>19</v>
      </c>
      <c r="L11" s="21" t="s">
        <v>192</v>
      </c>
      <c r="M11" s="22">
        <f>1/6</f>
        <v>0.16666666666666666</v>
      </c>
      <c r="N11" s="21" t="s">
        <v>19</v>
      </c>
      <c r="O11" s="22" t="s">
        <v>19</v>
      </c>
      <c r="P11" s="14" t="s">
        <v>19</v>
      </c>
      <c r="Q11" s="15" t="s">
        <v>19</v>
      </c>
      <c r="R11" s="21" t="s">
        <v>19</v>
      </c>
      <c r="S11" s="22" t="s">
        <v>19</v>
      </c>
      <c r="T11" s="21" t="s">
        <v>19</v>
      </c>
      <c r="U11" s="22" t="s">
        <v>19</v>
      </c>
      <c r="V11" s="14" t="s">
        <v>19</v>
      </c>
      <c r="W11" s="15" t="s">
        <v>19</v>
      </c>
      <c r="X11" s="21" t="s">
        <v>19</v>
      </c>
      <c r="Y11" s="22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21" t="s">
        <v>307</v>
      </c>
      <c r="C13" s="22">
        <f>102/108</f>
        <v>0.94444444444444442</v>
      </c>
      <c r="D13" s="14" t="s">
        <v>344</v>
      </c>
      <c r="E13" s="15">
        <f>22/108</f>
        <v>0.20370370370370369</v>
      </c>
      <c r="F13" s="21" t="s">
        <v>308</v>
      </c>
      <c r="G13" s="22">
        <f>64/108</f>
        <v>0.59259259259259256</v>
      </c>
      <c r="H13" s="21" t="s">
        <v>309</v>
      </c>
      <c r="I13" s="22">
        <f>102/104</f>
        <v>0.98076923076923073</v>
      </c>
      <c r="J13" s="14" t="s">
        <v>351</v>
      </c>
      <c r="K13" s="15">
        <f>22/26</f>
        <v>0.84615384615384615</v>
      </c>
      <c r="L13" s="21" t="s">
        <v>310</v>
      </c>
      <c r="M13" s="22">
        <f>64/93</f>
        <v>0.68817204301075274</v>
      </c>
      <c r="N13" s="21" t="s">
        <v>311</v>
      </c>
      <c r="O13" s="22">
        <f>166/232</f>
        <v>0.71551724137931039</v>
      </c>
      <c r="P13" s="14" t="s">
        <v>355</v>
      </c>
      <c r="Q13" s="15">
        <f>24/232</f>
        <v>0.10344827586206896</v>
      </c>
      <c r="R13" s="21" t="s">
        <v>312</v>
      </c>
      <c r="S13" s="22">
        <f>158/232</f>
        <v>0.68103448275862066</v>
      </c>
      <c r="T13" s="21" t="s">
        <v>313</v>
      </c>
      <c r="U13" s="22">
        <f>166/168</f>
        <v>0.98809523809523814</v>
      </c>
      <c r="V13" s="14" t="s">
        <v>361</v>
      </c>
      <c r="W13" s="15">
        <f>24/32</f>
        <v>0.75</v>
      </c>
      <c r="X13" s="21" t="s">
        <v>314</v>
      </c>
      <c r="Y13" s="22">
        <f>158/218</f>
        <v>0.72477064220183485</v>
      </c>
    </row>
    <row r="14" spans="1:25" ht="15.75" x14ac:dyDescent="0.25">
      <c r="A14" s="3" t="s">
        <v>65</v>
      </c>
      <c r="B14" s="21" t="s">
        <v>315</v>
      </c>
      <c r="C14" s="22">
        <f>53/57</f>
        <v>0.92982456140350878</v>
      </c>
      <c r="D14" s="14" t="s">
        <v>345</v>
      </c>
      <c r="E14" s="15">
        <f>3/57</f>
        <v>5.2631578947368418E-2</v>
      </c>
      <c r="F14" s="21" t="s">
        <v>316</v>
      </c>
      <c r="G14" s="22">
        <f>18/57</f>
        <v>0.31578947368421051</v>
      </c>
      <c r="H14" s="21" t="s">
        <v>317</v>
      </c>
      <c r="I14" s="22">
        <f>53/54</f>
        <v>0.98148148148148151</v>
      </c>
      <c r="J14" s="14" t="s">
        <v>183</v>
      </c>
      <c r="K14" s="15">
        <f>3/5</f>
        <v>0.6</v>
      </c>
      <c r="L14" s="21" t="s">
        <v>318</v>
      </c>
      <c r="M14" s="22">
        <f>18/35</f>
        <v>0.51428571428571423</v>
      </c>
      <c r="N14" s="21" t="s">
        <v>319</v>
      </c>
      <c r="O14" s="22">
        <f>27/36</f>
        <v>0.75</v>
      </c>
      <c r="P14" s="14" t="s">
        <v>356</v>
      </c>
      <c r="Q14" s="15">
        <f>3/36</f>
        <v>8.3333333333333329E-2</v>
      </c>
      <c r="R14" s="21" t="s">
        <v>69</v>
      </c>
      <c r="S14" s="22">
        <f>20/36</f>
        <v>0.55555555555555558</v>
      </c>
      <c r="T14" s="21" t="s">
        <v>152</v>
      </c>
      <c r="U14" s="22">
        <f>27/28</f>
        <v>0.9642857142857143</v>
      </c>
      <c r="V14" s="14" t="s">
        <v>360</v>
      </c>
      <c r="W14" s="15">
        <f>3/9</f>
        <v>0.33333333333333331</v>
      </c>
      <c r="X14" s="21" t="s">
        <v>320</v>
      </c>
      <c r="Y14" s="22">
        <f>20/55</f>
        <v>0.36363636363636365</v>
      </c>
    </row>
    <row r="15" spans="1:25" ht="15.75" x14ac:dyDescent="0.25">
      <c r="A15" s="3"/>
      <c r="B15" s="9"/>
      <c r="C15" s="10"/>
      <c r="D15" s="9"/>
      <c r="E15" s="10"/>
      <c r="F15" s="9"/>
      <c r="G15" s="10"/>
      <c r="H15" s="9"/>
      <c r="I15" s="10"/>
      <c r="J15" s="9"/>
      <c r="K15" s="10"/>
      <c r="L15" s="9"/>
      <c r="M15" s="10"/>
      <c r="N15" s="9"/>
      <c r="O15" s="10"/>
      <c r="P15" s="9"/>
      <c r="Q15" s="10"/>
      <c r="R15" s="9"/>
      <c r="S15" s="10"/>
      <c r="T15" s="9"/>
      <c r="U15" s="10"/>
      <c r="V15" s="9"/>
      <c r="W15" s="10"/>
      <c r="X15" s="9"/>
      <c r="Y15" s="10"/>
    </row>
    <row r="16" spans="1:25" ht="15.75" x14ac:dyDescent="0.25">
      <c r="A16" s="3"/>
      <c r="V16" s="11"/>
      <c r="W16" s="12"/>
      <c r="X16" s="11"/>
      <c r="Y16" s="12"/>
    </row>
    <row r="17" spans="1:25" ht="18.75" x14ac:dyDescent="0.3">
      <c r="A17" s="1" t="s">
        <v>74</v>
      </c>
      <c r="V17" s="13"/>
      <c r="X17" s="13"/>
    </row>
    <row r="18" spans="1:25" ht="15.75" x14ac:dyDescent="0.25">
      <c r="B18" s="25" t="s">
        <v>1</v>
      </c>
      <c r="C18" s="25"/>
      <c r="D18" s="25" t="s">
        <v>108</v>
      </c>
      <c r="E18" s="25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18"/>
      <c r="E19" s="15"/>
      <c r="F19" s="4"/>
      <c r="G19" s="5"/>
      <c r="H19" s="4"/>
      <c r="I19" s="5"/>
      <c r="J19" s="18"/>
      <c r="K19" s="15"/>
      <c r="L19" s="4"/>
      <c r="M19" s="5"/>
      <c r="N19" s="4"/>
      <c r="O19" s="5"/>
      <c r="P19" s="18"/>
      <c r="Q19" s="1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D20" s="18"/>
      <c r="E20" s="15"/>
      <c r="F20" s="4"/>
      <c r="G20" s="5"/>
      <c r="H20" s="4"/>
      <c r="I20" s="5"/>
      <c r="J20" s="18"/>
      <c r="K20" s="15"/>
      <c r="L20" s="4"/>
      <c r="M20" s="5"/>
      <c r="N20" s="4"/>
      <c r="O20" s="5"/>
      <c r="P20" s="18"/>
      <c r="Q20" s="1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21" t="s">
        <v>41</v>
      </c>
      <c r="C21" s="22">
        <f>6/6</f>
        <v>1</v>
      </c>
      <c r="D21" s="14" t="s">
        <v>15</v>
      </c>
      <c r="E21" s="15">
        <f>0/6</f>
        <v>0</v>
      </c>
      <c r="F21" s="21" t="s">
        <v>15</v>
      </c>
      <c r="G21" s="22">
        <f>0/6</f>
        <v>0</v>
      </c>
      <c r="H21" s="21" t="s">
        <v>41</v>
      </c>
      <c r="I21" s="22">
        <f>6/6</f>
        <v>1</v>
      </c>
      <c r="J21" s="14" t="s">
        <v>18</v>
      </c>
      <c r="K21" s="14" t="s">
        <v>19</v>
      </c>
      <c r="L21" s="21" t="s">
        <v>18</v>
      </c>
      <c r="M21" s="21" t="s">
        <v>19</v>
      </c>
      <c r="N21" s="21" t="s">
        <v>19</v>
      </c>
      <c r="O21" s="21" t="s">
        <v>19</v>
      </c>
      <c r="P21" s="14" t="s">
        <v>19</v>
      </c>
      <c r="Q21" s="14" t="s">
        <v>19</v>
      </c>
      <c r="R21" s="21" t="s">
        <v>19</v>
      </c>
      <c r="S21" s="21" t="s">
        <v>19</v>
      </c>
      <c r="T21" s="21" t="s">
        <v>19</v>
      </c>
      <c r="U21" s="21" t="s">
        <v>19</v>
      </c>
      <c r="V21" s="14" t="s">
        <v>19</v>
      </c>
      <c r="W21" s="14" t="s">
        <v>19</v>
      </c>
      <c r="X21" s="21" t="s">
        <v>19</v>
      </c>
      <c r="Y21" s="21" t="s">
        <v>19</v>
      </c>
    </row>
    <row r="22" spans="1:25" ht="15.75" x14ac:dyDescent="0.25">
      <c r="A22" s="3" t="s">
        <v>20</v>
      </c>
      <c r="B22" s="21" t="s">
        <v>21</v>
      </c>
      <c r="C22" s="21" t="s">
        <v>22</v>
      </c>
      <c r="D22" s="14" t="s">
        <v>23</v>
      </c>
      <c r="E22" s="14" t="s">
        <v>16</v>
      </c>
      <c r="F22" s="21" t="s">
        <v>23</v>
      </c>
      <c r="G22" s="21" t="s">
        <v>16</v>
      </c>
      <c r="H22" s="21" t="s">
        <v>294</v>
      </c>
      <c r="I22" s="22">
        <f>1/2</f>
        <v>0.5</v>
      </c>
      <c r="J22" s="14" t="s">
        <v>18</v>
      </c>
      <c r="K22" s="14" t="s">
        <v>19</v>
      </c>
      <c r="L22" s="21" t="s">
        <v>18</v>
      </c>
      <c r="M22" s="21" t="s">
        <v>19</v>
      </c>
      <c r="N22" s="21" t="s">
        <v>19</v>
      </c>
      <c r="O22" s="21" t="s">
        <v>19</v>
      </c>
      <c r="P22" s="14" t="s">
        <v>19</v>
      </c>
      <c r="Q22" s="14" t="s">
        <v>19</v>
      </c>
      <c r="R22" s="21" t="s">
        <v>19</v>
      </c>
      <c r="S22" s="21" t="s">
        <v>19</v>
      </c>
      <c r="T22" s="21" t="s">
        <v>19</v>
      </c>
      <c r="U22" s="21" t="s">
        <v>19</v>
      </c>
      <c r="V22" s="14" t="s">
        <v>19</v>
      </c>
      <c r="W22" s="14" t="s">
        <v>19</v>
      </c>
      <c r="X22" s="21" t="s">
        <v>19</v>
      </c>
      <c r="Y22" s="21" t="s">
        <v>19</v>
      </c>
    </row>
    <row r="23" spans="1:25" ht="15.75" x14ac:dyDescent="0.25">
      <c r="A23" s="3" t="s">
        <v>26</v>
      </c>
      <c r="B23" s="21" t="s">
        <v>23</v>
      </c>
      <c r="C23" s="22">
        <f>0/1</f>
        <v>0</v>
      </c>
      <c r="D23" s="14" t="s">
        <v>23</v>
      </c>
      <c r="E23" s="15">
        <f>0/1</f>
        <v>0</v>
      </c>
      <c r="F23" s="21" t="s">
        <v>21</v>
      </c>
      <c r="G23" s="22">
        <f>1/1</f>
        <v>1</v>
      </c>
      <c r="H23" s="21" t="s">
        <v>18</v>
      </c>
      <c r="I23" s="21" t="s">
        <v>19</v>
      </c>
      <c r="J23" s="14" t="s">
        <v>18</v>
      </c>
      <c r="K23" s="14" t="s">
        <v>19</v>
      </c>
      <c r="L23" s="21" t="s">
        <v>21</v>
      </c>
      <c r="M23" s="22">
        <f>1/1</f>
        <v>1</v>
      </c>
      <c r="N23" s="21" t="s">
        <v>23</v>
      </c>
      <c r="O23" s="22">
        <f>0/1</f>
        <v>0</v>
      </c>
      <c r="P23" s="14" t="s">
        <v>23</v>
      </c>
      <c r="Q23" s="15">
        <f>0/1</f>
        <v>0</v>
      </c>
      <c r="R23" s="21" t="s">
        <v>21</v>
      </c>
      <c r="S23" s="22">
        <f>1/1</f>
        <v>1</v>
      </c>
      <c r="T23" s="21" t="s">
        <v>18</v>
      </c>
      <c r="U23" s="21" t="s">
        <v>19</v>
      </c>
      <c r="V23" s="14" t="s">
        <v>18</v>
      </c>
      <c r="W23" s="14" t="s">
        <v>19</v>
      </c>
      <c r="X23" s="21" t="s">
        <v>21</v>
      </c>
      <c r="Y23" s="22">
        <f>1/1</f>
        <v>1</v>
      </c>
    </row>
    <row r="24" spans="1:25" ht="15.75" x14ac:dyDescent="0.25">
      <c r="A24" s="3" t="s">
        <v>27</v>
      </c>
      <c r="B24" s="21" t="s">
        <v>140</v>
      </c>
      <c r="C24" s="22">
        <f>22/22</f>
        <v>1</v>
      </c>
      <c r="D24" s="14" t="s">
        <v>346</v>
      </c>
      <c r="E24" s="15">
        <f>3/22</f>
        <v>0.13636363636363635</v>
      </c>
      <c r="F24" s="21" t="s">
        <v>321</v>
      </c>
      <c r="G24" s="22">
        <f>11/22</f>
        <v>0.5</v>
      </c>
      <c r="H24" s="21" t="s">
        <v>140</v>
      </c>
      <c r="I24" s="22">
        <f>22/22</f>
        <v>1</v>
      </c>
      <c r="J24" s="14" t="s">
        <v>183</v>
      </c>
      <c r="K24" s="15">
        <f>3/5</f>
        <v>0.6</v>
      </c>
      <c r="L24" s="21" t="s">
        <v>33</v>
      </c>
      <c r="M24" s="22">
        <f>11/20</f>
        <v>0.55000000000000004</v>
      </c>
      <c r="N24" s="21" t="s">
        <v>32</v>
      </c>
      <c r="O24" s="22">
        <f>15/20</f>
        <v>0.75</v>
      </c>
      <c r="P24" s="14" t="s">
        <v>118</v>
      </c>
      <c r="Q24" s="15">
        <f>3/20</f>
        <v>0.15</v>
      </c>
      <c r="R24" s="21" t="s">
        <v>32</v>
      </c>
      <c r="S24" s="22">
        <f>15/20</f>
        <v>0.75</v>
      </c>
      <c r="T24" s="21" t="s">
        <v>34</v>
      </c>
      <c r="U24" s="22">
        <f>15/16</f>
        <v>0.9375</v>
      </c>
      <c r="V24" s="14" t="s">
        <v>360</v>
      </c>
      <c r="W24" s="15">
        <f>3/9</f>
        <v>0.33333333333333331</v>
      </c>
      <c r="X24" s="21" t="s">
        <v>114</v>
      </c>
      <c r="Y24" s="22">
        <f>15/44</f>
        <v>0.34090909090909088</v>
      </c>
    </row>
    <row r="25" spans="1:25" ht="15.75" x14ac:dyDescent="0.25">
      <c r="A25" s="3" t="s">
        <v>36</v>
      </c>
      <c r="B25" s="21" t="s">
        <v>41</v>
      </c>
      <c r="C25" s="22">
        <f>6/6</f>
        <v>1</v>
      </c>
      <c r="D25" s="14" t="s">
        <v>15</v>
      </c>
      <c r="E25" s="15">
        <f>0/6</f>
        <v>0</v>
      </c>
      <c r="F25" s="21" t="s">
        <v>13</v>
      </c>
      <c r="G25" s="22">
        <f>5/6</f>
        <v>0.83333333333333337</v>
      </c>
      <c r="H25" s="21" t="s">
        <v>41</v>
      </c>
      <c r="I25" s="22">
        <f>6/6</f>
        <v>1</v>
      </c>
      <c r="J25" s="14" t="s">
        <v>18</v>
      </c>
      <c r="K25" s="14" t="s">
        <v>19</v>
      </c>
      <c r="L25" s="21" t="s">
        <v>134</v>
      </c>
      <c r="M25" s="22">
        <f>5/8</f>
        <v>0.625</v>
      </c>
      <c r="N25" s="21" t="s">
        <v>17</v>
      </c>
      <c r="O25" s="22">
        <f>5/5</f>
        <v>1</v>
      </c>
      <c r="P25" s="14" t="s">
        <v>208</v>
      </c>
      <c r="Q25" s="15">
        <f>0/5</f>
        <v>0</v>
      </c>
      <c r="R25" s="21" t="s">
        <v>184</v>
      </c>
      <c r="S25" s="22">
        <f>4/5</f>
        <v>0.8</v>
      </c>
      <c r="T25" s="21" t="s">
        <v>17</v>
      </c>
      <c r="U25" s="22">
        <f>5/5</f>
        <v>1</v>
      </c>
      <c r="V25" s="14" t="s">
        <v>18</v>
      </c>
      <c r="W25" s="14" t="s">
        <v>19</v>
      </c>
      <c r="X25" s="21" t="s">
        <v>299</v>
      </c>
      <c r="Y25" s="22">
        <f>4/10</f>
        <v>0.4</v>
      </c>
    </row>
    <row r="26" spans="1:25" ht="15.75" x14ac:dyDescent="0.25">
      <c r="A26" s="3" t="s">
        <v>43</v>
      </c>
      <c r="B26" s="21" t="s">
        <v>322</v>
      </c>
      <c r="C26" s="22">
        <f>39/41</f>
        <v>0.95121951219512191</v>
      </c>
      <c r="D26" s="14" t="s">
        <v>347</v>
      </c>
      <c r="E26" s="15">
        <f>17/41</f>
        <v>0.41463414634146339</v>
      </c>
      <c r="F26" s="21" t="s">
        <v>323</v>
      </c>
      <c r="G26" s="22">
        <f>38/41</f>
        <v>0.92682926829268297</v>
      </c>
      <c r="H26" s="21" t="s">
        <v>324</v>
      </c>
      <c r="I26" s="22">
        <f>39/40</f>
        <v>0.97499999999999998</v>
      </c>
      <c r="J26" s="14" t="s">
        <v>180</v>
      </c>
      <c r="K26" s="15">
        <f>17/18</f>
        <v>0.94444444444444442</v>
      </c>
      <c r="L26" s="21" t="s">
        <v>325</v>
      </c>
      <c r="M26" s="22">
        <f>38/45</f>
        <v>0.84444444444444444</v>
      </c>
      <c r="N26" s="21" t="s">
        <v>326</v>
      </c>
      <c r="O26" s="22">
        <f>132/183</f>
        <v>0.72131147540983609</v>
      </c>
      <c r="P26" s="14" t="s">
        <v>357</v>
      </c>
      <c r="Q26" s="15">
        <f>21/183</f>
        <v>0.11475409836065574</v>
      </c>
      <c r="R26" s="21" t="s">
        <v>327</v>
      </c>
      <c r="S26" s="22">
        <f>129/183</f>
        <v>0.70491803278688525</v>
      </c>
      <c r="T26" s="21" t="s">
        <v>328</v>
      </c>
      <c r="U26" s="22">
        <f>132/133</f>
        <v>0.99248120300751874</v>
      </c>
      <c r="V26" s="14" t="s">
        <v>141</v>
      </c>
      <c r="W26" s="15">
        <f>21/23</f>
        <v>0.91304347826086951</v>
      </c>
      <c r="X26" s="21" t="s">
        <v>329</v>
      </c>
      <c r="Y26" s="22">
        <f>129/152</f>
        <v>0.84868421052631582</v>
      </c>
    </row>
    <row r="27" spans="1:25" ht="15.75" x14ac:dyDescent="0.25">
      <c r="A27" s="3" t="s">
        <v>52</v>
      </c>
      <c r="B27" s="21" t="s">
        <v>82</v>
      </c>
      <c r="C27" s="22">
        <f>7/7</f>
        <v>1</v>
      </c>
      <c r="D27" s="14" t="s">
        <v>119</v>
      </c>
      <c r="E27" s="15">
        <f>0/7</f>
        <v>0</v>
      </c>
      <c r="F27" s="21" t="s">
        <v>330</v>
      </c>
      <c r="G27" s="22">
        <f>1/7</f>
        <v>0.14285714285714285</v>
      </c>
      <c r="H27" s="21" t="s">
        <v>82</v>
      </c>
      <c r="I27" s="22">
        <f>7/7</f>
        <v>1</v>
      </c>
      <c r="J27" s="14" t="s">
        <v>18</v>
      </c>
      <c r="K27" s="14" t="s">
        <v>19</v>
      </c>
      <c r="L27" s="21" t="s">
        <v>192</v>
      </c>
      <c r="M27" s="22">
        <f>1/6</f>
        <v>0.16666666666666666</v>
      </c>
      <c r="N27" s="21" t="s">
        <v>19</v>
      </c>
      <c r="O27" s="22" t="s">
        <v>19</v>
      </c>
      <c r="P27" s="14" t="s">
        <v>19</v>
      </c>
      <c r="Q27" s="15" t="s">
        <v>19</v>
      </c>
      <c r="R27" s="21" t="s">
        <v>19</v>
      </c>
      <c r="S27" s="22" t="s">
        <v>19</v>
      </c>
      <c r="T27" s="21" t="s">
        <v>19</v>
      </c>
      <c r="U27" s="22" t="s">
        <v>19</v>
      </c>
      <c r="V27" s="14" t="s">
        <v>19</v>
      </c>
      <c r="W27" s="15" t="s">
        <v>19</v>
      </c>
      <c r="X27" s="21" t="s">
        <v>19</v>
      </c>
      <c r="Y27" s="22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21" t="s">
        <v>331</v>
      </c>
      <c r="C29" s="22">
        <f>81/84</f>
        <v>0.9642857142857143</v>
      </c>
      <c r="D29" s="14" t="s">
        <v>348</v>
      </c>
      <c r="E29" s="15">
        <f>20/84</f>
        <v>0.23809523809523808</v>
      </c>
      <c r="F29" s="21" t="s">
        <v>332</v>
      </c>
      <c r="G29" s="22">
        <f>56/84</f>
        <v>0.66666666666666663</v>
      </c>
      <c r="H29" s="21" t="s">
        <v>333</v>
      </c>
      <c r="I29" s="22">
        <f>81/83</f>
        <v>0.97590361445783136</v>
      </c>
      <c r="J29" s="14" t="s">
        <v>352</v>
      </c>
      <c r="K29" s="15">
        <f>20/23</f>
        <v>0.86956521739130432</v>
      </c>
      <c r="L29" s="21" t="s">
        <v>334</v>
      </c>
      <c r="M29" s="22">
        <f>56/80</f>
        <v>0.7</v>
      </c>
      <c r="N29" s="21" t="s">
        <v>335</v>
      </c>
      <c r="O29" s="22">
        <f>152/209</f>
        <v>0.72727272727272729</v>
      </c>
      <c r="P29" s="14" t="s">
        <v>358</v>
      </c>
      <c r="Q29" s="15">
        <f>24/209</f>
        <v>0.11483253588516747</v>
      </c>
      <c r="R29" s="21" t="s">
        <v>336</v>
      </c>
      <c r="S29" s="22">
        <f>149/209</f>
        <v>0.71291866028708128</v>
      </c>
      <c r="T29" s="21" t="s">
        <v>337</v>
      </c>
      <c r="U29" s="22">
        <f>152/154</f>
        <v>0.98701298701298701</v>
      </c>
      <c r="V29" s="14" t="s">
        <v>361</v>
      </c>
      <c r="W29" s="15">
        <f>24/32</f>
        <v>0.75</v>
      </c>
      <c r="X29" s="21" t="s">
        <v>338</v>
      </c>
      <c r="Y29" s="22">
        <f>149/207</f>
        <v>0.71980676328502413</v>
      </c>
    </row>
    <row r="30" spans="1:25" ht="15.75" x14ac:dyDescent="0.25">
      <c r="A30" s="3" t="s">
        <v>65</v>
      </c>
      <c r="B30" s="21" t="s">
        <v>339</v>
      </c>
      <c r="C30" s="22">
        <f>42/43</f>
        <v>0.97674418604651159</v>
      </c>
      <c r="D30" s="14" t="s">
        <v>349</v>
      </c>
      <c r="E30" s="15">
        <f>3/43</f>
        <v>6.9767441860465115E-2</v>
      </c>
      <c r="F30" s="21" t="s">
        <v>340</v>
      </c>
      <c r="G30" s="22">
        <f>18/43</f>
        <v>0.41860465116279072</v>
      </c>
      <c r="H30" s="21" t="s">
        <v>339</v>
      </c>
      <c r="I30" s="22">
        <f>42/43</f>
        <v>0.97674418604651159</v>
      </c>
      <c r="J30" s="14" t="s">
        <v>183</v>
      </c>
      <c r="K30" s="15">
        <f>3/5</f>
        <v>0.6</v>
      </c>
      <c r="L30" s="21" t="s">
        <v>318</v>
      </c>
      <c r="M30" s="22">
        <f>18/35</f>
        <v>0.51428571428571423</v>
      </c>
      <c r="N30" s="21" t="s">
        <v>341</v>
      </c>
      <c r="O30" s="22">
        <f>20/26</f>
        <v>0.76923076923076927</v>
      </c>
      <c r="P30" s="14" t="s">
        <v>359</v>
      </c>
      <c r="Q30" s="15">
        <f>3/26</f>
        <v>0.11538461538461539</v>
      </c>
      <c r="R30" s="21" t="s">
        <v>341</v>
      </c>
      <c r="S30" s="22">
        <f>20/26</f>
        <v>0.76923076923076927</v>
      </c>
      <c r="T30" s="21" t="s">
        <v>178</v>
      </c>
      <c r="U30" s="22">
        <f>20/21</f>
        <v>0.95238095238095233</v>
      </c>
      <c r="V30" s="14" t="s">
        <v>360</v>
      </c>
      <c r="W30" s="15">
        <f>3/9</f>
        <v>0.33333333333333331</v>
      </c>
      <c r="X30" s="21" t="s">
        <v>320</v>
      </c>
      <c r="Y30" s="22">
        <f>20/55</f>
        <v>0.36363636363636365</v>
      </c>
    </row>
  </sheetData>
  <mergeCells count="24">
    <mergeCell ref="R2:S2"/>
    <mergeCell ref="D2:E2"/>
    <mergeCell ref="V2:W2"/>
    <mergeCell ref="V18:W18"/>
    <mergeCell ref="T2:U2"/>
    <mergeCell ref="P2:Q2"/>
    <mergeCell ref="P18:Q18"/>
    <mergeCell ref="N2:O2"/>
    <mergeCell ref="X2:Y2"/>
    <mergeCell ref="B18:C18"/>
    <mergeCell ref="F18:G18"/>
    <mergeCell ref="H18:I18"/>
    <mergeCell ref="L18:M18"/>
    <mergeCell ref="N18:O18"/>
    <mergeCell ref="R18:S18"/>
    <mergeCell ref="T18:U18"/>
    <mergeCell ref="X18:Y18"/>
    <mergeCell ref="B2:C2"/>
    <mergeCell ref="F2:G2"/>
    <mergeCell ref="H2:I2"/>
    <mergeCell ref="L2:M2"/>
    <mergeCell ref="D18:E18"/>
    <mergeCell ref="J2:K2"/>
    <mergeCell ref="J18:K1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/>
  </sheetViews>
  <sheetFormatPr defaultColWidth="9.140625" defaultRowHeight="15" x14ac:dyDescent="0.25"/>
  <cols>
    <col min="1" max="1" width="16.5703125" style="2" customWidth="1"/>
    <col min="2" max="22" width="12.85546875" style="2" customWidth="1"/>
    <col min="23" max="23" width="13" style="2" customWidth="1"/>
    <col min="24" max="24" width="12.85546875" style="2" customWidth="1"/>
    <col min="25" max="25" width="13" style="2" customWidth="1"/>
    <col min="26" max="16384" width="9.140625" style="2"/>
  </cols>
  <sheetData>
    <row r="1" spans="1:25" ht="18.75" x14ac:dyDescent="0.3">
      <c r="A1" s="1" t="s">
        <v>0</v>
      </c>
    </row>
    <row r="2" spans="1:25" ht="15.75" x14ac:dyDescent="0.25">
      <c r="B2" s="25" t="s">
        <v>1</v>
      </c>
      <c r="C2" s="25"/>
      <c r="D2" s="25" t="s">
        <v>108</v>
      </c>
      <c r="E2" s="25"/>
      <c r="F2" s="25" t="s">
        <v>2</v>
      </c>
      <c r="G2" s="25"/>
      <c r="H2" s="25" t="s">
        <v>3</v>
      </c>
      <c r="I2" s="25"/>
      <c r="J2" s="25" t="s">
        <v>109</v>
      </c>
      <c r="K2" s="25"/>
      <c r="L2" s="25" t="s">
        <v>4</v>
      </c>
      <c r="M2" s="25"/>
      <c r="N2" s="25" t="s">
        <v>5</v>
      </c>
      <c r="O2" s="25"/>
      <c r="P2" s="25" t="s">
        <v>110</v>
      </c>
      <c r="Q2" s="25"/>
      <c r="R2" s="25" t="s">
        <v>6</v>
      </c>
      <c r="S2" s="25"/>
      <c r="T2" s="25" t="s">
        <v>7</v>
      </c>
      <c r="U2" s="25"/>
      <c r="V2" s="25" t="s">
        <v>111</v>
      </c>
      <c r="W2" s="25"/>
      <c r="X2" s="25" t="s">
        <v>8</v>
      </c>
      <c r="Y2" s="25"/>
    </row>
    <row r="3" spans="1:25" ht="15.75" x14ac:dyDescent="0.25">
      <c r="A3" s="3" t="s">
        <v>9</v>
      </c>
      <c r="B3" s="4" t="s">
        <v>10</v>
      </c>
      <c r="C3" s="5"/>
      <c r="D3" s="18"/>
      <c r="E3" s="15"/>
      <c r="F3" s="4"/>
      <c r="G3" s="5"/>
      <c r="H3" s="4"/>
      <c r="I3" s="5"/>
      <c r="J3" s="18"/>
      <c r="K3" s="15"/>
      <c r="L3" s="4"/>
      <c r="M3" s="5"/>
      <c r="N3" s="4"/>
      <c r="O3" s="5"/>
      <c r="P3" s="18"/>
      <c r="Q3" s="15"/>
      <c r="R3" s="4"/>
      <c r="S3" s="5"/>
      <c r="T3" s="4"/>
      <c r="U3" s="5"/>
      <c r="V3" s="18"/>
      <c r="W3" s="15"/>
      <c r="X3" s="4"/>
      <c r="Y3" s="5"/>
    </row>
    <row r="4" spans="1:25" ht="15.75" x14ac:dyDescent="0.25">
      <c r="A4" s="3" t="s">
        <v>11</v>
      </c>
      <c r="B4" s="4" t="s">
        <v>10</v>
      </c>
      <c r="C4" s="5"/>
      <c r="D4" s="18"/>
      <c r="E4" s="15"/>
      <c r="F4" s="4"/>
      <c r="G4" s="5"/>
      <c r="H4" s="4"/>
      <c r="I4" s="5"/>
      <c r="J4" s="18"/>
      <c r="K4" s="15"/>
      <c r="L4" s="4"/>
      <c r="M4" s="5"/>
      <c r="N4" s="4"/>
      <c r="O4" s="5"/>
      <c r="P4" s="18"/>
      <c r="Q4" s="15"/>
      <c r="R4" s="4"/>
      <c r="S4" s="5"/>
      <c r="T4" s="4"/>
      <c r="U4" s="5"/>
      <c r="V4" s="18"/>
      <c r="W4" s="15"/>
      <c r="X4" s="4"/>
      <c r="Y4" s="5"/>
    </row>
    <row r="5" spans="1:25" ht="15.75" x14ac:dyDescent="0.25">
      <c r="A5" s="3" t="s">
        <v>12</v>
      </c>
      <c r="B5" s="6" t="s">
        <v>41</v>
      </c>
      <c r="C5" s="5">
        <f>6/6</f>
        <v>1</v>
      </c>
      <c r="D5" s="14" t="s">
        <v>15</v>
      </c>
      <c r="E5" s="15">
        <f>0/6</f>
        <v>0</v>
      </c>
      <c r="F5" s="6" t="s">
        <v>15</v>
      </c>
      <c r="G5" s="5">
        <f>0/6</f>
        <v>0</v>
      </c>
      <c r="H5" s="6" t="s">
        <v>40</v>
      </c>
      <c r="I5" s="5">
        <f>6/7</f>
        <v>0.8571428571428571</v>
      </c>
      <c r="J5" s="14" t="s">
        <v>18</v>
      </c>
      <c r="K5" s="14" t="s">
        <v>19</v>
      </c>
      <c r="L5" s="6" t="s">
        <v>18</v>
      </c>
      <c r="M5" s="6" t="s">
        <v>19</v>
      </c>
      <c r="N5" s="6" t="s">
        <v>19</v>
      </c>
      <c r="O5" s="6" t="s">
        <v>19</v>
      </c>
      <c r="P5" s="14" t="s">
        <v>19</v>
      </c>
      <c r="Q5" s="14" t="s">
        <v>19</v>
      </c>
      <c r="R5" s="6" t="s">
        <v>19</v>
      </c>
      <c r="S5" s="6" t="s">
        <v>19</v>
      </c>
      <c r="T5" s="6" t="s">
        <v>19</v>
      </c>
      <c r="U5" s="6" t="s">
        <v>19</v>
      </c>
      <c r="V5" s="14" t="s">
        <v>19</v>
      </c>
      <c r="W5" s="14" t="s">
        <v>19</v>
      </c>
      <c r="X5" s="6" t="s">
        <v>19</v>
      </c>
      <c r="Y5" s="6" t="s">
        <v>19</v>
      </c>
    </row>
    <row r="6" spans="1:25" ht="15.75" x14ac:dyDescent="0.25">
      <c r="A6" s="3" t="s">
        <v>20</v>
      </c>
      <c r="B6" s="6" t="s">
        <v>21</v>
      </c>
      <c r="C6" s="6" t="s">
        <v>22</v>
      </c>
      <c r="D6" s="14" t="s">
        <v>23</v>
      </c>
      <c r="E6" s="14" t="s">
        <v>16</v>
      </c>
      <c r="F6" s="6" t="s">
        <v>23</v>
      </c>
      <c r="G6" s="6" t="s">
        <v>16</v>
      </c>
      <c r="H6" s="6" t="s">
        <v>294</v>
      </c>
      <c r="I6" s="5">
        <f>1/2</f>
        <v>0.5</v>
      </c>
      <c r="J6" s="14" t="s">
        <v>18</v>
      </c>
      <c r="K6" s="14" t="s">
        <v>19</v>
      </c>
      <c r="L6" s="6" t="s">
        <v>23</v>
      </c>
      <c r="M6" s="5">
        <f>0/1</f>
        <v>0</v>
      </c>
      <c r="N6" s="6" t="s">
        <v>19</v>
      </c>
      <c r="O6" s="6" t="s">
        <v>19</v>
      </c>
      <c r="P6" s="14" t="s">
        <v>19</v>
      </c>
      <c r="Q6" s="14" t="s">
        <v>19</v>
      </c>
      <c r="R6" s="6" t="s">
        <v>19</v>
      </c>
      <c r="S6" s="6" t="s">
        <v>19</v>
      </c>
      <c r="T6" s="6" t="s">
        <v>19</v>
      </c>
      <c r="U6" s="6" t="s">
        <v>19</v>
      </c>
      <c r="V6" s="14" t="s">
        <v>19</v>
      </c>
      <c r="W6" s="14" t="s">
        <v>19</v>
      </c>
      <c r="X6" s="6" t="s">
        <v>19</v>
      </c>
      <c r="Y6" s="6" t="s">
        <v>19</v>
      </c>
    </row>
    <row r="7" spans="1:25" ht="15.75" x14ac:dyDescent="0.25">
      <c r="A7" s="3" t="s">
        <v>26</v>
      </c>
      <c r="B7" s="6" t="s">
        <v>23</v>
      </c>
      <c r="C7" s="5">
        <f>0/1</f>
        <v>0</v>
      </c>
      <c r="D7" s="14" t="s">
        <v>23</v>
      </c>
      <c r="E7" s="15">
        <f>0/1</f>
        <v>0</v>
      </c>
      <c r="F7" s="6" t="s">
        <v>21</v>
      </c>
      <c r="G7" s="5">
        <f>1/1</f>
        <v>1</v>
      </c>
      <c r="H7" s="6" t="s">
        <v>18</v>
      </c>
      <c r="I7" s="6" t="s">
        <v>19</v>
      </c>
      <c r="J7" s="14" t="s">
        <v>18</v>
      </c>
      <c r="K7" s="14" t="s">
        <v>19</v>
      </c>
      <c r="L7" s="6" t="s">
        <v>21</v>
      </c>
      <c r="M7" s="5">
        <f>1/1</f>
        <v>1</v>
      </c>
      <c r="N7" s="6" t="s">
        <v>23</v>
      </c>
      <c r="O7" s="5">
        <f>0/1</f>
        <v>0</v>
      </c>
      <c r="P7" s="14" t="s">
        <v>23</v>
      </c>
      <c r="Q7" s="15">
        <f>0/1</f>
        <v>0</v>
      </c>
      <c r="R7" s="6" t="s">
        <v>21</v>
      </c>
      <c r="S7" s="5">
        <f>1/1</f>
        <v>1</v>
      </c>
      <c r="T7" s="6" t="s">
        <v>18</v>
      </c>
      <c r="U7" s="6" t="s">
        <v>19</v>
      </c>
      <c r="V7" s="14" t="s">
        <v>18</v>
      </c>
      <c r="W7" s="14" t="s">
        <v>19</v>
      </c>
      <c r="X7" s="6" t="s">
        <v>24</v>
      </c>
      <c r="Y7" s="5">
        <f>1/3</f>
        <v>0.33333333333333331</v>
      </c>
    </row>
    <row r="8" spans="1:25" ht="15.75" x14ac:dyDescent="0.25">
      <c r="A8" s="3" t="s">
        <v>27</v>
      </c>
      <c r="B8" s="6" t="s">
        <v>362</v>
      </c>
      <c r="C8" s="5">
        <f>33/35</f>
        <v>0.94285714285714284</v>
      </c>
      <c r="D8" s="14" t="s">
        <v>416</v>
      </c>
      <c r="E8" s="15">
        <f>7/35</f>
        <v>0.2</v>
      </c>
      <c r="F8" s="6" t="s">
        <v>363</v>
      </c>
      <c r="G8" s="5">
        <f>13/35</f>
        <v>0.37142857142857144</v>
      </c>
      <c r="H8" s="6" t="s">
        <v>364</v>
      </c>
      <c r="I8" s="5">
        <f>33/33</f>
        <v>1</v>
      </c>
      <c r="J8" s="14" t="s">
        <v>82</v>
      </c>
      <c r="K8" s="15">
        <f>7/7</f>
        <v>1</v>
      </c>
      <c r="L8" s="6" t="s">
        <v>365</v>
      </c>
      <c r="M8" s="5">
        <f>13/25</f>
        <v>0.52</v>
      </c>
      <c r="N8" s="6" t="s">
        <v>366</v>
      </c>
      <c r="O8" s="5">
        <f>16/28</f>
        <v>0.5714285714285714</v>
      </c>
      <c r="P8" s="14" t="s">
        <v>426</v>
      </c>
      <c r="Q8" s="15">
        <f>5/28</f>
        <v>0.17857142857142858</v>
      </c>
      <c r="R8" s="6" t="s">
        <v>367</v>
      </c>
      <c r="S8" s="5">
        <f>13/28</f>
        <v>0.4642857142857143</v>
      </c>
      <c r="T8" s="6" t="s">
        <v>142</v>
      </c>
      <c r="U8" s="5">
        <f>16/16</f>
        <v>1</v>
      </c>
      <c r="V8" s="14" t="s">
        <v>84</v>
      </c>
      <c r="W8" s="15">
        <f>5/13</f>
        <v>0.38461538461538464</v>
      </c>
      <c r="X8" s="6" t="s">
        <v>368</v>
      </c>
      <c r="Y8" s="5">
        <f>13/47</f>
        <v>0.27659574468085107</v>
      </c>
    </row>
    <row r="9" spans="1:25" ht="15.75" x14ac:dyDescent="0.25">
      <c r="A9" s="3" t="s">
        <v>36</v>
      </c>
      <c r="B9" s="6" t="s">
        <v>40</v>
      </c>
      <c r="C9" s="5">
        <f>6/7</f>
        <v>0.8571428571428571</v>
      </c>
      <c r="D9" s="14" t="s">
        <v>119</v>
      </c>
      <c r="E9" s="15">
        <f>0/7</f>
        <v>0</v>
      </c>
      <c r="F9" s="6" t="s">
        <v>82</v>
      </c>
      <c r="G9" s="5">
        <f>7/7</f>
        <v>1</v>
      </c>
      <c r="H9" s="6" t="s">
        <v>41</v>
      </c>
      <c r="I9" s="5">
        <f>6/6</f>
        <v>1</v>
      </c>
      <c r="J9" s="14" t="s">
        <v>18</v>
      </c>
      <c r="K9" s="14" t="s">
        <v>19</v>
      </c>
      <c r="L9" s="6" t="s">
        <v>39</v>
      </c>
      <c r="M9" s="5">
        <f>7/9</f>
        <v>0.77777777777777779</v>
      </c>
      <c r="N9" s="6" t="s">
        <v>133</v>
      </c>
      <c r="O9" s="5">
        <f>4/7</f>
        <v>0.5714285714285714</v>
      </c>
      <c r="P9" s="14" t="s">
        <v>119</v>
      </c>
      <c r="Q9" s="15">
        <f>0/7</f>
        <v>0</v>
      </c>
      <c r="R9" s="6" t="s">
        <v>40</v>
      </c>
      <c r="S9" s="5">
        <f>6/7</f>
        <v>0.8571428571428571</v>
      </c>
      <c r="T9" s="6" t="s">
        <v>132</v>
      </c>
      <c r="U9" s="5">
        <f>4/4</f>
        <v>1</v>
      </c>
      <c r="V9" s="14" t="s">
        <v>18</v>
      </c>
      <c r="W9" s="14" t="s">
        <v>19</v>
      </c>
      <c r="X9" s="6" t="s">
        <v>369</v>
      </c>
      <c r="Y9" s="5">
        <f>6/16</f>
        <v>0.375</v>
      </c>
    </row>
    <row r="10" spans="1:25" ht="15.75" x14ac:dyDescent="0.25">
      <c r="A10" s="3" t="s">
        <v>43</v>
      </c>
      <c r="B10" s="6" t="s">
        <v>370</v>
      </c>
      <c r="C10" s="5">
        <f>52/54</f>
        <v>0.96296296296296291</v>
      </c>
      <c r="D10" s="14" t="s">
        <v>417</v>
      </c>
      <c r="E10" s="15">
        <f>21/54</f>
        <v>0.3888888888888889</v>
      </c>
      <c r="F10" s="6" t="s">
        <v>371</v>
      </c>
      <c r="G10" s="5">
        <f>45/54</f>
        <v>0.83333333333333337</v>
      </c>
      <c r="H10" s="6" t="s">
        <v>372</v>
      </c>
      <c r="I10" s="5">
        <f>52/57</f>
        <v>0.91228070175438591</v>
      </c>
      <c r="J10" s="14" t="s">
        <v>155</v>
      </c>
      <c r="K10" s="15">
        <f>21/21</f>
        <v>1</v>
      </c>
      <c r="L10" s="6" t="s">
        <v>373</v>
      </c>
      <c r="M10" s="5">
        <f>45/55</f>
        <v>0.81818181818181823</v>
      </c>
      <c r="N10" s="6" t="s">
        <v>374</v>
      </c>
      <c r="O10" s="5">
        <f>143/196</f>
        <v>0.72959183673469385</v>
      </c>
      <c r="P10" s="14" t="s">
        <v>427</v>
      </c>
      <c r="Q10" s="15">
        <f>28/196</f>
        <v>0.14285714285714285</v>
      </c>
      <c r="R10" s="6" t="s">
        <v>375</v>
      </c>
      <c r="S10" s="5">
        <f>132/196</f>
        <v>0.67346938775510201</v>
      </c>
      <c r="T10" s="6" t="s">
        <v>376</v>
      </c>
      <c r="U10" s="5">
        <f>143/147</f>
        <v>0.97278911564625847</v>
      </c>
      <c r="V10" s="14" t="s">
        <v>425</v>
      </c>
      <c r="W10" s="15">
        <f>28/28</f>
        <v>1</v>
      </c>
      <c r="X10" s="6" t="s">
        <v>377</v>
      </c>
      <c r="Y10" s="5">
        <f>132/165</f>
        <v>0.8</v>
      </c>
    </row>
    <row r="11" spans="1:25" ht="15.75" x14ac:dyDescent="0.25">
      <c r="A11" s="3" t="s">
        <v>52</v>
      </c>
      <c r="B11" s="6" t="s">
        <v>378</v>
      </c>
      <c r="C11" s="5">
        <f>8/11</f>
        <v>0.72727272727272729</v>
      </c>
      <c r="D11" s="14" t="s">
        <v>287</v>
      </c>
      <c r="E11" s="15">
        <f>0/11</f>
        <v>0</v>
      </c>
      <c r="F11" s="6" t="s">
        <v>379</v>
      </c>
      <c r="G11" s="5">
        <f>3/11</f>
        <v>0.27272727272727271</v>
      </c>
      <c r="H11" s="6" t="s">
        <v>37</v>
      </c>
      <c r="I11" s="5">
        <f>8/8</f>
        <v>1</v>
      </c>
      <c r="J11" s="14" t="s">
        <v>18</v>
      </c>
      <c r="K11" s="14" t="s">
        <v>19</v>
      </c>
      <c r="L11" s="6" t="s">
        <v>360</v>
      </c>
      <c r="M11" s="5">
        <f>3/9</f>
        <v>0.33333333333333331</v>
      </c>
      <c r="N11" s="6" t="s">
        <v>19</v>
      </c>
      <c r="O11" s="5" t="s">
        <v>19</v>
      </c>
      <c r="P11" s="14" t="s">
        <v>19</v>
      </c>
      <c r="Q11" s="15" t="s">
        <v>19</v>
      </c>
      <c r="R11" s="6" t="s">
        <v>19</v>
      </c>
      <c r="S11" s="5" t="s">
        <v>19</v>
      </c>
      <c r="T11" s="6" t="s">
        <v>19</v>
      </c>
      <c r="U11" s="5" t="s">
        <v>19</v>
      </c>
      <c r="V11" s="14" t="s">
        <v>19</v>
      </c>
      <c r="W11" s="15" t="s">
        <v>19</v>
      </c>
      <c r="X11" s="6" t="s">
        <v>19</v>
      </c>
      <c r="Y11" s="5" t="s">
        <v>19</v>
      </c>
    </row>
    <row r="12" spans="1:25" ht="15.75" x14ac:dyDescent="0.25">
      <c r="A12" s="3"/>
      <c r="B12" s="7"/>
      <c r="C12" s="8"/>
      <c r="D12" s="16"/>
      <c r="E12" s="17"/>
      <c r="F12" s="7"/>
      <c r="G12" s="8"/>
      <c r="H12" s="7"/>
      <c r="I12" s="8"/>
      <c r="J12" s="16"/>
      <c r="K12" s="17"/>
      <c r="L12" s="7"/>
      <c r="M12" s="8"/>
      <c r="N12" s="7"/>
      <c r="O12" s="8"/>
      <c r="P12" s="16"/>
      <c r="Q12" s="17"/>
      <c r="R12" s="7"/>
      <c r="S12" s="8"/>
      <c r="T12" s="7"/>
      <c r="U12" s="8"/>
      <c r="V12" s="16"/>
      <c r="W12" s="17"/>
      <c r="X12" s="7"/>
      <c r="Y12" s="8"/>
    </row>
    <row r="13" spans="1:25" ht="15.75" x14ac:dyDescent="0.25">
      <c r="A13" s="3" t="s">
        <v>57</v>
      </c>
      <c r="B13" s="6" t="s">
        <v>380</v>
      </c>
      <c r="C13" s="5">
        <f>106/115</f>
        <v>0.92173913043478262</v>
      </c>
      <c r="D13" s="14" t="s">
        <v>418</v>
      </c>
      <c r="E13" s="15">
        <f>28/115</f>
        <v>0.24347826086956523</v>
      </c>
      <c r="F13" s="6" t="s">
        <v>381</v>
      </c>
      <c r="G13" s="5">
        <f>69/115</f>
        <v>0.6</v>
      </c>
      <c r="H13" s="6" t="s">
        <v>382</v>
      </c>
      <c r="I13" s="5">
        <f>106/113</f>
        <v>0.93805309734513276</v>
      </c>
      <c r="J13" s="14" t="s">
        <v>425</v>
      </c>
      <c r="K13" s="15">
        <f>28/28</f>
        <v>1</v>
      </c>
      <c r="L13" s="6" t="s">
        <v>435</v>
      </c>
      <c r="M13" s="5">
        <f>69/100</f>
        <v>0.69</v>
      </c>
      <c r="N13" s="6" t="s">
        <v>383</v>
      </c>
      <c r="O13" s="5">
        <f>163/232</f>
        <v>0.70258620689655171</v>
      </c>
      <c r="P13" s="14" t="s">
        <v>428</v>
      </c>
      <c r="Q13" s="15">
        <f>33/232</f>
        <v>0.14224137931034483</v>
      </c>
      <c r="R13" s="6" t="s">
        <v>384</v>
      </c>
      <c r="S13" s="5">
        <f>152/232</f>
        <v>0.65517241379310343</v>
      </c>
      <c r="T13" s="6" t="s">
        <v>442</v>
      </c>
      <c r="U13" s="5">
        <f>163/167</f>
        <v>0.9760479041916168</v>
      </c>
      <c r="V13" s="14" t="s">
        <v>433</v>
      </c>
      <c r="W13" s="15">
        <f>33/41</f>
        <v>0.80487804878048785</v>
      </c>
      <c r="X13" s="6" t="s">
        <v>445</v>
      </c>
      <c r="Y13" s="5">
        <f>152/231</f>
        <v>0.65800865800865804</v>
      </c>
    </row>
    <row r="14" spans="1:25" ht="15.75" x14ac:dyDescent="0.25">
      <c r="A14" s="3" t="s">
        <v>65</v>
      </c>
      <c r="B14" s="6" t="s">
        <v>385</v>
      </c>
      <c r="C14" s="5">
        <f>54/61</f>
        <v>0.88524590163934425</v>
      </c>
      <c r="D14" s="14" t="s">
        <v>419</v>
      </c>
      <c r="E14" s="15">
        <f>7/61</f>
        <v>0.11475409836065574</v>
      </c>
      <c r="F14" s="6" t="s">
        <v>386</v>
      </c>
      <c r="G14" s="5">
        <f>24/61</f>
        <v>0.39344262295081966</v>
      </c>
      <c r="H14" s="6" t="s">
        <v>387</v>
      </c>
      <c r="I14" s="5">
        <f>54/56</f>
        <v>0.9642857142857143</v>
      </c>
      <c r="J14" s="14" t="s">
        <v>82</v>
      </c>
      <c r="K14" s="15">
        <f>7/7</f>
        <v>1</v>
      </c>
      <c r="L14" s="6" t="s">
        <v>388</v>
      </c>
      <c r="M14" s="5">
        <f>24/45</f>
        <v>0.53333333333333333</v>
      </c>
      <c r="N14" s="6" t="s">
        <v>69</v>
      </c>
      <c r="O14" s="5">
        <f>20/36</f>
        <v>0.55555555555555558</v>
      </c>
      <c r="P14" s="14" t="s">
        <v>429</v>
      </c>
      <c r="Q14" s="15">
        <f>5/36</f>
        <v>0.1388888888888889</v>
      </c>
      <c r="R14" s="6" t="s">
        <v>69</v>
      </c>
      <c r="S14" s="5">
        <f>20/36</f>
        <v>0.55555555555555558</v>
      </c>
      <c r="T14" s="6" t="s">
        <v>75</v>
      </c>
      <c r="U14" s="5">
        <f>20/20</f>
        <v>1</v>
      </c>
      <c r="V14" s="14" t="s">
        <v>84</v>
      </c>
      <c r="W14" s="15">
        <f>5/13</f>
        <v>0.38461538461538464</v>
      </c>
      <c r="X14" s="6" t="s">
        <v>389</v>
      </c>
      <c r="Y14" s="5">
        <f>20/66</f>
        <v>0.30303030303030304</v>
      </c>
    </row>
    <row r="15" spans="1:25" ht="15.75" x14ac:dyDescent="0.25">
      <c r="A15" s="3"/>
      <c r="B15" s="9"/>
      <c r="C15" s="10"/>
      <c r="D15" s="9"/>
      <c r="E15" s="10"/>
      <c r="F15" s="9"/>
      <c r="G15" s="10"/>
      <c r="H15" s="9"/>
      <c r="I15" s="10"/>
      <c r="J15" s="9"/>
      <c r="K15" s="10"/>
      <c r="L15" s="9"/>
      <c r="M15" s="10"/>
      <c r="N15" s="9"/>
      <c r="O15" s="10"/>
      <c r="P15" s="9"/>
      <c r="Q15" s="10"/>
      <c r="R15" s="9"/>
      <c r="S15" s="10"/>
      <c r="T15" s="9"/>
      <c r="U15" s="10"/>
      <c r="V15" s="9"/>
      <c r="W15" s="10"/>
      <c r="X15" s="9"/>
      <c r="Y15" s="10"/>
    </row>
    <row r="16" spans="1:25" ht="15.75" x14ac:dyDescent="0.25">
      <c r="A16" s="3"/>
      <c r="V16" s="11"/>
      <c r="W16" s="12"/>
      <c r="X16" s="11"/>
      <c r="Y16" s="12"/>
    </row>
    <row r="17" spans="1:25" ht="18.75" x14ac:dyDescent="0.3">
      <c r="A17" s="1" t="s">
        <v>74</v>
      </c>
      <c r="V17" s="13"/>
      <c r="X17" s="13"/>
    </row>
    <row r="18" spans="1:25" ht="15.75" x14ac:dyDescent="0.25">
      <c r="B18" s="25" t="s">
        <v>1</v>
      </c>
      <c r="C18" s="25"/>
      <c r="D18" s="25" t="s">
        <v>108</v>
      </c>
      <c r="E18" s="25"/>
      <c r="F18" s="25" t="s">
        <v>2</v>
      </c>
      <c r="G18" s="25"/>
      <c r="H18" s="25" t="s">
        <v>3</v>
      </c>
      <c r="I18" s="25"/>
      <c r="J18" s="25" t="s">
        <v>109</v>
      </c>
      <c r="K18" s="25"/>
      <c r="L18" s="25" t="s">
        <v>4</v>
      </c>
      <c r="M18" s="25"/>
      <c r="N18" s="25" t="s">
        <v>5</v>
      </c>
      <c r="O18" s="25"/>
      <c r="P18" s="25" t="s">
        <v>110</v>
      </c>
      <c r="Q18" s="25"/>
      <c r="R18" s="25" t="s">
        <v>6</v>
      </c>
      <c r="S18" s="25"/>
      <c r="T18" s="25" t="s">
        <v>7</v>
      </c>
      <c r="U18" s="25"/>
      <c r="V18" s="25" t="s">
        <v>111</v>
      </c>
      <c r="W18" s="25"/>
      <c r="X18" s="25" t="s">
        <v>8</v>
      </c>
      <c r="Y18" s="25"/>
    </row>
    <row r="19" spans="1:25" ht="15.75" x14ac:dyDescent="0.25">
      <c r="A19" s="3" t="s">
        <v>9</v>
      </c>
      <c r="B19" s="4" t="s">
        <v>10</v>
      </c>
      <c r="C19" s="5"/>
      <c r="D19" s="18"/>
      <c r="E19" s="15"/>
      <c r="F19" s="4"/>
      <c r="G19" s="5"/>
      <c r="H19" s="4"/>
      <c r="I19" s="5"/>
      <c r="J19" s="18"/>
      <c r="K19" s="15"/>
      <c r="L19" s="4"/>
      <c r="M19" s="5"/>
      <c r="N19" s="4"/>
      <c r="O19" s="5"/>
      <c r="P19" s="18"/>
      <c r="Q19" s="15"/>
      <c r="R19" s="4"/>
      <c r="S19" s="5"/>
      <c r="T19" s="4"/>
      <c r="U19" s="5"/>
      <c r="V19" s="18"/>
      <c r="W19" s="15"/>
      <c r="X19" s="4"/>
      <c r="Y19" s="5"/>
    </row>
    <row r="20" spans="1:25" ht="15.75" x14ac:dyDescent="0.25">
      <c r="A20" s="3" t="s">
        <v>11</v>
      </c>
      <c r="B20" s="4" t="s">
        <v>10</v>
      </c>
      <c r="C20" s="5"/>
      <c r="D20" s="18"/>
      <c r="E20" s="15"/>
      <c r="F20" s="4"/>
      <c r="G20" s="5"/>
      <c r="H20" s="4"/>
      <c r="I20" s="5"/>
      <c r="J20" s="18"/>
      <c r="K20" s="15"/>
      <c r="L20" s="4"/>
      <c r="M20" s="5"/>
      <c r="N20" s="4"/>
      <c r="O20" s="5"/>
      <c r="P20" s="18"/>
      <c r="Q20" s="15"/>
      <c r="R20" s="4"/>
      <c r="S20" s="5"/>
      <c r="T20" s="4"/>
      <c r="U20" s="5"/>
      <c r="V20" s="18"/>
      <c r="W20" s="15"/>
      <c r="X20" s="4"/>
      <c r="Y20" s="5"/>
    </row>
    <row r="21" spans="1:25" ht="15.75" x14ac:dyDescent="0.25">
      <c r="A21" s="3" t="s">
        <v>12</v>
      </c>
      <c r="B21" s="6" t="s">
        <v>41</v>
      </c>
      <c r="C21" s="5">
        <f>6/6</f>
        <v>1</v>
      </c>
      <c r="D21" s="14" t="s">
        <v>15</v>
      </c>
      <c r="E21" s="15">
        <f>0/6</f>
        <v>0</v>
      </c>
      <c r="F21" s="6" t="s">
        <v>15</v>
      </c>
      <c r="G21" s="5">
        <f>0/6</f>
        <v>0</v>
      </c>
      <c r="H21" s="6" t="s">
        <v>40</v>
      </c>
      <c r="I21" s="5">
        <f>6/7</f>
        <v>0.8571428571428571</v>
      </c>
      <c r="J21" s="14" t="s">
        <v>18</v>
      </c>
      <c r="K21" s="14" t="s">
        <v>19</v>
      </c>
      <c r="L21" s="6" t="s">
        <v>18</v>
      </c>
      <c r="M21" s="6" t="s">
        <v>19</v>
      </c>
      <c r="N21" s="6" t="s">
        <v>19</v>
      </c>
      <c r="O21" s="6" t="s">
        <v>19</v>
      </c>
      <c r="P21" s="14" t="s">
        <v>19</v>
      </c>
      <c r="Q21" s="14" t="s">
        <v>19</v>
      </c>
      <c r="R21" s="6" t="s">
        <v>19</v>
      </c>
      <c r="S21" s="6" t="s">
        <v>19</v>
      </c>
      <c r="T21" s="6" t="s">
        <v>19</v>
      </c>
      <c r="U21" s="6" t="s">
        <v>19</v>
      </c>
      <c r="V21" s="14" t="s">
        <v>19</v>
      </c>
      <c r="W21" s="14" t="s">
        <v>19</v>
      </c>
      <c r="X21" s="6" t="s">
        <v>19</v>
      </c>
      <c r="Y21" s="6" t="s">
        <v>19</v>
      </c>
    </row>
    <row r="22" spans="1:25" ht="15.75" x14ac:dyDescent="0.25">
      <c r="A22" s="3" t="s">
        <v>20</v>
      </c>
      <c r="B22" s="6" t="s">
        <v>21</v>
      </c>
      <c r="C22" s="6" t="s">
        <v>22</v>
      </c>
      <c r="D22" s="14" t="s">
        <v>23</v>
      </c>
      <c r="E22" s="14" t="s">
        <v>16</v>
      </c>
      <c r="F22" s="6" t="s">
        <v>23</v>
      </c>
      <c r="G22" s="6" t="s">
        <v>16</v>
      </c>
      <c r="H22" s="6" t="s">
        <v>294</v>
      </c>
      <c r="I22" s="5">
        <f>1/2</f>
        <v>0.5</v>
      </c>
      <c r="J22" s="14" t="s">
        <v>18</v>
      </c>
      <c r="K22" s="14" t="s">
        <v>19</v>
      </c>
      <c r="L22" s="6" t="s">
        <v>23</v>
      </c>
      <c r="M22" s="5">
        <f>0/1</f>
        <v>0</v>
      </c>
      <c r="N22" s="6" t="s">
        <v>19</v>
      </c>
      <c r="O22" s="6" t="s">
        <v>19</v>
      </c>
      <c r="P22" s="14" t="s">
        <v>19</v>
      </c>
      <c r="Q22" s="14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14" t="s">
        <v>19</v>
      </c>
      <c r="W22" s="14" t="s">
        <v>19</v>
      </c>
      <c r="X22" s="6" t="s">
        <v>19</v>
      </c>
      <c r="Y22" s="6" t="s">
        <v>19</v>
      </c>
    </row>
    <row r="23" spans="1:25" ht="15.75" x14ac:dyDescent="0.25">
      <c r="A23" s="3" t="s">
        <v>26</v>
      </c>
      <c r="B23" s="6" t="s">
        <v>23</v>
      </c>
      <c r="C23" s="5">
        <f>0/1</f>
        <v>0</v>
      </c>
      <c r="D23" s="14" t="s">
        <v>23</v>
      </c>
      <c r="E23" s="15">
        <f>0/1</f>
        <v>0</v>
      </c>
      <c r="F23" s="6" t="s">
        <v>21</v>
      </c>
      <c r="G23" s="5">
        <f>1/1</f>
        <v>1</v>
      </c>
      <c r="H23" s="6" t="s">
        <v>18</v>
      </c>
      <c r="I23" s="6" t="s">
        <v>19</v>
      </c>
      <c r="J23" s="14" t="s">
        <v>18</v>
      </c>
      <c r="K23" s="14" t="s">
        <v>19</v>
      </c>
      <c r="L23" s="6" t="s">
        <v>21</v>
      </c>
      <c r="M23" s="5">
        <f>1/1</f>
        <v>1</v>
      </c>
      <c r="N23" s="6" t="s">
        <v>23</v>
      </c>
      <c r="O23" s="5">
        <f>0/1</f>
        <v>0</v>
      </c>
      <c r="P23" s="14" t="s">
        <v>23</v>
      </c>
      <c r="Q23" s="15">
        <f>0/1</f>
        <v>0</v>
      </c>
      <c r="R23" s="6" t="s">
        <v>21</v>
      </c>
      <c r="S23" s="5">
        <f>1/1</f>
        <v>1</v>
      </c>
      <c r="T23" s="6" t="s">
        <v>18</v>
      </c>
      <c r="U23" s="6" t="s">
        <v>19</v>
      </c>
      <c r="V23" s="14" t="s">
        <v>18</v>
      </c>
      <c r="W23" s="14" t="s">
        <v>19</v>
      </c>
      <c r="X23" s="6" t="s">
        <v>24</v>
      </c>
      <c r="Y23" s="5">
        <f>1/3</f>
        <v>0.33333333333333331</v>
      </c>
    </row>
    <row r="24" spans="1:25" ht="15.75" x14ac:dyDescent="0.25">
      <c r="A24" s="3" t="s">
        <v>27</v>
      </c>
      <c r="B24" s="6" t="s">
        <v>253</v>
      </c>
      <c r="C24" s="5">
        <f>23/23</f>
        <v>1</v>
      </c>
      <c r="D24" s="14" t="s">
        <v>420</v>
      </c>
      <c r="E24" s="15">
        <f>7/23</f>
        <v>0.30434782608695654</v>
      </c>
      <c r="F24" s="6" t="s">
        <v>219</v>
      </c>
      <c r="G24" s="5">
        <f>12/23</f>
        <v>0.52173913043478259</v>
      </c>
      <c r="H24" s="6" t="s">
        <v>253</v>
      </c>
      <c r="I24" s="5">
        <f>23/23</f>
        <v>1</v>
      </c>
      <c r="J24" s="14" t="s">
        <v>82</v>
      </c>
      <c r="K24" s="15">
        <f>7/7</f>
        <v>1</v>
      </c>
      <c r="L24" s="6" t="s">
        <v>390</v>
      </c>
      <c r="M24" s="5">
        <f>12/24</f>
        <v>0.5</v>
      </c>
      <c r="N24" s="6" t="s">
        <v>391</v>
      </c>
      <c r="O24" s="5">
        <f>14/23</f>
        <v>0.60869565217391308</v>
      </c>
      <c r="P24" s="14" t="s">
        <v>282</v>
      </c>
      <c r="Q24" s="15">
        <f>5/23</f>
        <v>0.21739130434782608</v>
      </c>
      <c r="R24" s="6" t="s">
        <v>219</v>
      </c>
      <c r="S24" s="5">
        <f>12/23</f>
        <v>0.52173913043478259</v>
      </c>
      <c r="T24" s="6" t="s">
        <v>392</v>
      </c>
      <c r="U24" s="5">
        <f>14/14</f>
        <v>1</v>
      </c>
      <c r="V24" s="14" t="s">
        <v>84</v>
      </c>
      <c r="W24" s="15">
        <f>5/13</f>
        <v>0.38461538461538464</v>
      </c>
      <c r="X24" s="6" t="s">
        <v>393</v>
      </c>
      <c r="Y24" s="5">
        <f>12/46</f>
        <v>0.2608695652173913</v>
      </c>
    </row>
    <row r="25" spans="1:25" ht="15.75" x14ac:dyDescent="0.25">
      <c r="A25" s="3" t="s">
        <v>36</v>
      </c>
      <c r="B25" s="6" t="s">
        <v>41</v>
      </c>
      <c r="C25" s="5">
        <f>6/6</f>
        <v>1</v>
      </c>
      <c r="D25" s="14" t="s">
        <v>15</v>
      </c>
      <c r="E25" s="15">
        <f>0/6</f>
        <v>0</v>
      </c>
      <c r="F25" s="6" t="s">
        <v>41</v>
      </c>
      <c r="G25" s="5">
        <f>6/6</f>
        <v>1</v>
      </c>
      <c r="H25" s="6" t="s">
        <v>41</v>
      </c>
      <c r="I25" s="5">
        <f>6/6</f>
        <v>1</v>
      </c>
      <c r="J25" s="14" t="s">
        <v>18</v>
      </c>
      <c r="K25" s="14" t="s">
        <v>19</v>
      </c>
      <c r="L25" s="6" t="s">
        <v>83</v>
      </c>
      <c r="M25" s="5">
        <f>6/8</f>
        <v>0.75</v>
      </c>
      <c r="N25" s="6" t="s">
        <v>159</v>
      </c>
      <c r="O25" s="5">
        <f>4/6</f>
        <v>0.66666666666666663</v>
      </c>
      <c r="P25" s="14" t="s">
        <v>15</v>
      </c>
      <c r="Q25" s="15">
        <f>0/6</f>
        <v>0</v>
      </c>
      <c r="R25" s="6" t="s">
        <v>13</v>
      </c>
      <c r="S25" s="5">
        <f>5/6</f>
        <v>0.83333333333333337</v>
      </c>
      <c r="T25" s="6" t="s">
        <v>132</v>
      </c>
      <c r="U25" s="5">
        <f>4/4</f>
        <v>1</v>
      </c>
      <c r="V25" s="14" t="s">
        <v>18</v>
      </c>
      <c r="W25" s="14" t="s">
        <v>19</v>
      </c>
      <c r="X25" s="6" t="s">
        <v>394</v>
      </c>
      <c r="Y25" s="5">
        <f>5/15</f>
        <v>0.33333333333333331</v>
      </c>
    </row>
    <row r="26" spans="1:25" ht="15.75" x14ac:dyDescent="0.25">
      <c r="A26" s="3" t="s">
        <v>43</v>
      </c>
      <c r="B26" s="6" t="s">
        <v>395</v>
      </c>
      <c r="C26" s="5">
        <f>41/43</f>
        <v>0.95348837209302328</v>
      </c>
      <c r="D26" s="14" t="s">
        <v>421</v>
      </c>
      <c r="E26" s="15">
        <f>21/43</f>
        <v>0.48837209302325579</v>
      </c>
      <c r="F26" s="6" t="s">
        <v>396</v>
      </c>
      <c r="G26" s="5">
        <f>39/43</f>
        <v>0.90697674418604646</v>
      </c>
      <c r="H26" s="6" t="s">
        <v>397</v>
      </c>
      <c r="I26" s="5">
        <f>41/46</f>
        <v>0.89130434782608692</v>
      </c>
      <c r="J26" s="14" t="s">
        <v>155</v>
      </c>
      <c r="K26" s="15">
        <f>21/21</f>
        <v>1</v>
      </c>
      <c r="L26" s="6" t="s">
        <v>398</v>
      </c>
      <c r="M26" s="5">
        <f>39/47</f>
        <v>0.82978723404255317</v>
      </c>
      <c r="N26" s="6" t="s">
        <v>399</v>
      </c>
      <c r="O26" s="5">
        <f>135/183</f>
        <v>0.73770491803278693</v>
      </c>
      <c r="P26" s="14" t="s">
        <v>430</v>
      </c>
      <c r="Q26" s="15">
        <f>28/183</f>
        <v>0.15300546448087432</v>
      </c>
      <c r="R26" s="6" t="s">
        <v>400</v>
      </c>
      <c r="S26" s="5">
        <f>124/183</f>
        <v>0.67759562841530052</v>
      </c>
      <c r="T26" s="6" t="s">
        <v>401</v>
      </c>
      <c r="U26" s="5">
        <f>135/139</f>
        <v>0.97122302158273377</v>
      </c>
      <c r="V26" s="14" t="s">
        <v>425</v>
      </c>
      <c r="W26" s="15">
        <f>28/28</f>
        <v>1</v>
      </c>
      <c r="X26" s="6" t="s">
        <v>402</v>
      </c>
      <c r="Y26" s="5">
        <f>124/156</f>
        <v>0.79487179487179482</v>
      </c>
    </row>
    <row r="27" spans="1:25" ht="15.75" x14ac:dyDescent="0.25">
      <c r="A27" s="3" t="s">
        <v>52</v>
      </c>
      <c r="B27" s="6" t="s">
        <v>39</v>
      </c>
      <c r="C27" s="5">
        <f>7/9</f>
        <v>0.77777777777777779</v>
      </c>
      <c r="D27" s="14" t="s">
        <v>422</v>
      </c>
      <c r="E27" s="15">
        <f>0/9</f>
        <v>0</v>
      </c>
      <c r="F27" s="6" t="s">
        <v>360</v>
      </c>
      <c r="G27" s="5">
        <f>3/9</f>
        <v>0.33333333333333331</v>
      </c>
      <c r="H27" s="6" t="s">
        <v>82</v>
      </c>
      <c r="I27" s="5">
        <f>7/7</f>
        <v>1</v>
      </c>
      <c r="J27" s="14" t="s">
        <v>18</v>
      </c>
      <c r="K27" s="14" t="s">
        <v>19</v>
      </c>
      <c r="L27" s="6" t="s">
        <v>403</v>
      </c>
      <c r="M27" s="5">
        <f>3/8</f>
        <v>0.375</v>
      </c>
      <c r="N27" s="6" t="s">
        <v>19</v>
      </c>
      <c r="O27" s="5" t="s">
        <v>19</v>
      </c>
      <c r="P27" s="14" t="s">
        <v>19</v>
      </c>
      <c r="Q27" s="15" t="s">
        <v>19</v>
      </c>
      <c r="R27" s="6" t="s">
        <v>19</v>
      </c>
      <c r="S27" s="5" t="s">
        <v>19</v>
      </c>
      <c r="T27" s="6" t="s">
        <v>19</v>
      </c>
      <c r="U27" s="5" t="s">
        <v>19</v>
      </c>
      <c r="V27" s="14" t="s">
        <v>19</v>
      </c>
      <c r="W27" s="15" t="s">
        <v>19</v>
      </c>
      <c r="X27" s="6" t="s">
        <v>19</v>
      </c>
      <c r="Y27" s="5" t="s">
        <v>19</v>
      </c>
    </row>
    <row r="28" spans="1:25" ht="15.75" x14ac:dyDescent="0.25">
      <c r="A28" s="3"/>
      <c r="B28" s="7"/>
      <c r="C28" s="8"/>
      <c r="D28" s="16"/>
      <c r="E28" s="17"/>
      <c r="F28" s="7"/>
      <c r="G28" s="8"/>
      <c r="H28" s="7"/>
      <c r="I28" s="8"/>
      <c r="J28" s="16"/>
      <c r="K28" s="17"/>
      <c r="L28" s="7"/>
      <c r="M28" s="8"/>
      <c r="N28" s="7"/>
      <c r="O28" s="8"/>
      <c r="P28" s="16"/>
      <c r="Q28" s="17"/>
      <c r="R28" s="7"/>
      <c r="S28" s="8"/>
      <c r="T28" s="7"/>
      <c r="U28" s="8"/>
      <c r="V28" s="16"/>
      <c r="W28" s="17"/>
      <c r="X28" s="7"/>
      <c r="Y28" s="8"/>
    </row>
    <row r="29" spans="1:25" ht="15.75" x14ac:dyDescent="0.25">
      <c r="A29" s="3" t="s">
        <v>57</v>
      </c>
      <c r="B29" s="6" t="s">
        <v>404</v>
      </c>
      <c r="C29" s="5">
        <f>84/89</f>
        <v>0.9438202247191011</v>
      </c>
      <c r="D29" s="14" t="s">
        <v>423</v>
      </c>
      <c r="E29" s="15">
        <f>28/89</f>
        <v>0.3146067415730337</v>
      </c>
      <c r="F29" s="6" t="s">
        <v>405</v>
      </c>
      <c r="G29" s="5">
        <f>61/89</f>
        <v>0.6853932584269663</v>
      </c>
      <c r="H29" s="6" t="s">
        <v>406</v>
      </c>
      <c r="I29" s="5">
        <f>84/91</f>
        <v>0.92307692307692313</v>
      </c>
      <c r="J29" s="14" t="s">
        <v>425</v>
      </c>
      <c r="K29" s="15">
        <f>28/28</f>
        <v>1</v>
      </c>
      <c r="L29" s="6" t="s">
        <v>405</v>
      </c>
      <c r="M29" s="5">
        <f>61/89</f>
        <v>0.6853932584269663</v>
      </c>
      <c r="N29" s="6" t="s">
        <v>407</v>
      </c>
      <c r="O29" s="5">
        <f>153/213</f>
        <v>0.71830985915492962</v>
      </c>
      <c r="P29" s="14" t="s">
        <v>431</v>
      </c>
      <c r="Q29" s="15">
        <f>33/213</f>
        <v>0.15492957746478872</v>
      </c>
      <c r="R29" s="6" t="s">
        <v>408</v>
      </c>
      <c r="S29" s="5">
        <f>142/213</f>
        <v>0.66666666666666663</v>
      </c>
      <c r="T29" s="6" t="s">
        <v>446</v>
      </c>
      <c r="U29" s="5">
        <f>153/157</f>
        <v>0.97452229299363058</v>
      </c>
      <c r="V29" s="14" t="s">
        <v>433</v>
      </c>
      <c r="W29" s="15">
        <f>33/41</f>
        <v>0.80487804878048785</v>
      </c>
      <c r="X29" s="6" t="s">
        <v>409</v>
      </c>
      <c r="Y29" s="5">
        <f>142/220</f>
        <v>0.6454545454545455</v>
      </c>
    </row>
    <row r="30" spans="1:25" ht="15.75" x14ac:dyDescent="0.25">
      <c r="A30" s="3" t="s">
        <v>65</v>
      </c>
      <c r="B30" s="6" t="s">
        <v>410</v>
      </c>
      <c r="C30" s="5">
        <f>43/46</f>
        <v>0.93478260869565222</v>
      </c>
      <c r="D30" s="14" t="s">
        <v>424</v>
      </c>
      <c r="E30" s="15">
        <f>7/46</f>
        <v>0.15217391304347827</v>
      </c>
      <c r="F30" s="6" t="s">
        <v>411</v>
      </c>
      <c r="G30" s="5">
        <f>22/46</f>
        <v>0.47826086956521741</v>
      </c>
      <c r="H30" s="6" t="s">
        <v>412</v>
      </c>
      <c r="I30" s="5">
        <f>43/45</f>
        <v>0.9555555555555556</v>
      </c>
      <c r="J30" s="14" t="s">
        <v>82</v>
      </c>
      <c r="K30" s="15">
        <f>7/7</f>
        <v>1</v>
      </c>
      <c r="L30" s="6" t="s">
        <v>413</v>
      </c>
      <c r="M30" s="5">
        <f>22/42</f>
        <v>0.52380952380952384</v>
      </c>
      <c r="N30" s="6" t="s">
        <v>414</v>
      </c>
      <c r="O30" s="5">
        <f>18/30</f>
        <v>0.6</v>
      </c>
      <c r="P30" s="14" t="s">
        <v>432</v>
      </c>
      <c r="Q30" s="15">
        <f>5/30</f>
        <v>0.16666666666666666</v>
      </c>
      <c r="R30" s="6" t="s">
        <v>414</v>
      </c>
      <c r="S30" s="5">
        <f>18/30</f>
        <v>0.6</v>
      </c>
      <c r="T30" s="6" t="s">
        <v>125</v>
      </c>
      <c r="U30" s="5">
        <f>18/18</f>
        <v>1</v>
      </c>
      <c r="V30" s="14" t="s">
        <v>84</v>
      </c>
      <c r="W30" s="15">
        <f>5/13</f>
        <v>0.38461538461538464</v>
      </c>
      <c r="X30" s="6" t="s">
        <v>415</v>
      </c>
      <c r="Y30" s="5">
        <f>18/64</f>
        <v>0.28125</v>
      </c>
    </row>
  </sheetData>
  <mergeCells count="24">
    <mergeCell ref="R2:S2"/>
    <mergeCell ref="D2:E2"/>
    <mergeCell ref="V2:W2"/>
    <mergeCell ref="V18:W18"/>
    <mergeCell ref="T2:U2"/>
    <mergeCell ref="P2:Q2"/>
    <mergeCell ref="P18:Q18"/>
    <mergeCell ref="N2:O2"/>
    <mergeCell ref="X2:Y2"/>
    <mergeCell ref="B18:C18"/>
    <mergeCell ref="F18:G18"/>
    <mergeCell ref="H18:I18"/>
    <mergeCell ref="L18:M18"/>
    <mergeCell ref="N18:O18"/>
    <mergeCell ref="R18:S18"/>
    <mergeCell ref="T18:U18"/>
    <mergeCell ref="X18:Y18"/>
    <mergeCell ref="B2:C2"/>
    <mergeCell ref="F2:G2"/>
    <mergeCell ref="H2:I2"/>
    <mergeCell ref="L2:M2"/>
    <mergeCell ref="D18:E18"/>
    <mergeCell ref="J2:K2"/>
    <mergeCell ref="J18:K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002</vt:lpstr>
      <vt:lpstr>003</vt:lpstr>
      <vt:lpstr>004</vt:lpstr>
      <vt:lpstr>005</vt:lpstr>
      <vt:lpstr>006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2017-04-06T17:39:55Z</dcterms:modified>
</cp:coreProperties>
</file>